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Năm 2026\14. LĨNH VỰC NÔNG NGHIỆP\2. Chăn nuôi thú y\8. DỊCH TẢ LỢN CHÂU PHI 2026\THÀNH LẬP TỔ THẨM ĐỊNH\Niêm yết\"/>
    </mc:Choice>
  </mc:AlternateContent>
  <bookViews>
    <workbookView xWindow="-105" yWindow="-105" windowWidth="19425" windowHeight="11025" activeTab="1"/>
  </bookViews>
  <sheets>
    <sheet name="Tổng" sheetId="2" r:id="rId1"/>
    <sheet name="Chi tiết theo thôn" sheetId="3" r:id="rId2"/>
    <sheet name="Table 5" sheetId="5" r:id="rId3"/>
  </sheets>
  <definedNames>
    <definedName name="_xlnm._FilterDatabase" localSheetId="1" hidden="1">'Chi tiết theo thôn'!$A$5:$H$156</definedName>
    <definedName name="Slicer_Tên_thôn">#N/A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5:slicerCaches>
    </ext>
  </extLst>
</workbook>
</file>

<file path=xl/calcChain.xml><?xml version="1.0" encoding="utf-8"?>
<calcChain xmlns="http://schemas.openxmlformats.org/spreadsheetml/2006/main">
  <c r="D157" i="3" l="1"/>
  <c r="U155" i="3"/>
  <c r="V154" i="3" l="1"/>
  <c r="E157" i="3"/>
  <c r="L161" i="3" l="1"/>
  <c r="P5"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6" i="3"/>
  <c r="V66" i="3" l="1"/>
  <c r="G157" i="3"/>
  <c r="N158" i="3"/>
  <c r="P158" i="3" s="1"/>
  <c r="P161" i="3" l="1"/>
  <c r="L155" i="3"/>
  <c r="J55" i="3"/>
  <c r="J45" i="3"/>
  <c r="O45" i="3" s="1"/>
  <c r="J41" i="3"/>
  <c r="K39" i="3"/>
  <c r="J38" i="3"/>
  <c r="J37" i="3"/>
  <c r="J33" i="3"/>
  <c r="O35" i="3" s="1"/>
  <c r="J142" i="3"/>
  <c r="J124" i="3"/>
  <c r="J108" i="3"/>
  <c r="J112" i="3"/>
  <c r="J150" i="3"/>
  <c r="J122" i="3"/>
  <c r="J121" i="3"/>
  <c r="J12" i="3"/>
  <c r="J104" i="3"/>
  <c r="J101" i="3"/>
  <c r="J89" i="3"/>
  <c r="J87" i="3"/>
  <c r="J84" i="3"/>
  <c r="J80" i="3"/>
  <c r="J74" i="3"/>
  <c r="J72" i="3"/>
  <c r="J70" i="3"/>
  <c r="J63" i="3"/>
  <c r="J61" i="3"/>
  <c r="J60" i="3"/>
  <c r="J59" i="3"/>
  <c r="J57" i="3"/>
  <c r="J53" i="3"/>
  <c r="J51" i="3"/>
  <c r="J50" i="3"/>
  <c r="J49" i="3"/>
  <c r="J48" i="3"/>
  <c r="J47" i="3"/>
  <c r="J46" i="3"/>
  <c r="J44" i="3"/>
  <c r="J43" i="3"/>
  <c r="J31" i="3"/>
  <c r="J7" i="3"/>
  <c r="J6" i="3"/>
  <c r="J36" i="3"/>
  <c r="K33" i="3"/>
  <c r="K34" i="3" s="1"/>
  <c r="J28" i="3"/>
  <c r="J13" i="3"/>
  <c r="J11" i="3"/>
  <c r="O33" i="3" l="1"/>
  <c r="M7" i="3"/>
  <c r="N7" i="3" s="1"/>
  <c r="M8" i="3"/>
  <c r="N8" i="3" s="1"/>
  <c r="M9" i="3"/>
  <c r="N9" i="3" s="1"/>
  <c r="M10" i="3"/>
  <c r="N10" i="3" s="1"/>
  <c r="M11" i="3"/>
  <c r="N11" i="3" s="1"/>
  <c r="M12" i="3"/>
  <c r="N12" i="3" s="1"/>
  <c r="M13" i="3"/>
  <c r="N13" i="3" s="1"/>
  <c r="M14" i="3"/>
  <c r="N14" i="3" s="1"/>
  <c r="M15" i="3"/>
  <c r="N15" i="3" s="1"/>
  <c r="M16" i="3"/>
  <c r="N16" i="3" s="1"/>
  <c r="M17" i="3"/>
  <c r="N17" i="3" s="1"/>
  <c r="M18" i="3"/>
  <c r="N18" i="3" s="1"/>
  <c r="M19" i="3"/>
  <c r="N19" i="3" s="1"/>
  <c r="M20" i="3"/>
  <c r="N20" i="3" s="1"/>
  <c r="M21" i="3"/>
  <c r="N21" i="3" s="1"/>
  <c r="M22" i="3"/>
  <c r="N22" i="3" s="1"/>
  <c r="M23" i="3"/>
  <c r="N23" i="3" s="1"/>
  <c r="M24" i="3"/>
  <c r="N24" i="3" s="1"/>
  <c r="M25" i="3"/>
  <c r="N25" i="3" s="1"/>
  <c r="M26" i="3"/>
  <c r="N26" i="3" s="1"/>
  <c r="M27" i="3"/>
  <c r="N27" i="3" s="1"/>
  <c r="M28" i="3"/>
  <c r="N28" i="3" s="1"/>
  <c r="M29" i="3"/>
  <c r="N29" i="3" s="1"/>
  <c r="M30" i="3"/>
  <c r="N30" i="3" s="1"/>
  <c r="M31" i="3"/>
  <c r="N31" i="3" s="1"/>
  <c r="M32" i="3"/>
  <c r="N32" i="3" s="1"/>
  <c r="M33" i="3"/>
  <c r="N33" i="3" s="1"/>
  <c r="M34" i="3"/>
  <c r="N34" i="3" s="1"/>
  <c r="M35" i="3"/>
  <c r="N35" i="3" s="1"/>
  <c r="M36" i="3"/>
  <c r="N36" i="3" s="1"/>
  <c r="M37" i="3"/>
  <c r="N37" i="3" s="1"/>
  <c r="M38" i="3"/>
  <c r="N38" i="3" s="1"/>
  <c r="M39" i="3"/>
  <c r="M40" i="3"/>
  <c r="N40" i="3" s="1"/>
  <c r="M41" i="3"/>
  <c r="N41" i="3" s="1"/>
  <c r="M42" i="3"/>
  <c r="N42" i="3" s="1"/>
  <c r="M43" i="3"/>
  <c r="N43" i="3" s="1"/>
  <c r="M44" i="3"/>
  <c r="N44" i="3" s="1"/>
  <c r="M45" i="3"/>
  <c r="N45" i="3" s="1"/>
  <c r="M46" i="3"/>
  <c r="N46" i="3" s="1"/>
  <c r="M47" i="3"/>
  <c r="N47" i="3" s="1"/>
  <c r="M48" i="3"/>
  <c r="N48" i="3" s="1"/>
  <c r="M49" i="3"/>
  <c r="N49" i="3" s="1"/>
  <c r="M50" i="3"/>
  <c r="N50" i="3" s="1"/>
  <c r="M51" i="3"/>
  <c r="N51" i="3" s="1"/>
  <c r="M52" i="3"/>
  <c r="N52" i="3" s="1"/>
  <c r="M53" i="3"/>
  <c r="N53" i="3" s="1"/>
  <c r="M54" i="3"/>
  <c r="N54" i="3" s="1"/>
  <c r="M55" i="3"/>
  <c r="N55" i="3" s="1"/>
  <c r="M56" i="3"/>
  <c r="N56" i="3" s="1"/>
  <c r="M57" i="3"/>
  <c r="N57" i="3" s="1"/>
  <c r="M58" i="3"/>
  <c r="N58" i="3" s="1"/>
  <c r="M59" i="3"/>
  <c r="N59" i="3" s="1"/>
  <c r="M60" i="3"/>
  <c r="N60" i="3" s="1"/>
  <c r="M61" i="3"/>
  <c r="N61" i="3" s="1"/>
  <c r="M62" i="3"/>
  <c r="N62" i="3" s="1"/>
  <c r="M63" i="3"/>
  <c r="N63" i="3" s="1"/>
  <c r="M64" i="3"/>
  <c r="N64" i="3" s="1"/>
  <c r="M65" i="3"/>
  <c r="N65" i="3" s="1"/>
  <c r="M66" i="3"/>
  <c r="N66" i="3" s="1"/>
  <c r="M67" i="3"/>
  <c r="N67" i="3" s="1"/>
  <c r="M68" i="3"/>
  <c r="N68" i="3" s="1"/>
  <c r="M69" i="3"/>
  <c r="N69" i="3" s="1"/>
  <c r="M70" i="3"/>
  <c r="N70" i="3" s="1"/>
  <c r="M71" i="3"/>
  <c r="N71" i="3" s="1"/>
  <c r="M72" i="3"/>
  <c r="N72" i="3" s="1"/>
  <c r="M73" i="3"/>
  <c r="N73" i="3" s="1"/>
  <c r="M74" i="3"/>
  <c r="N74" i="3" s="1"/>
  <c r="M75" i="3"/>
  <c r="N75" i="3" s="1"/>
  <c r="M76" i="3"/>
  <c r="N76" i="3" s="1"/>
  <c r="M77" i="3"/>
  <c r="N77" i="3" s="1"/>
  <c r="M78" i="3"/>
  <c r="N78" i="3" s="1"/>
  <c r="M79" i="3"/>
  <c r="N79" i="3" s="1"/>
  <c r="M80" i="3"/>
  <c r="N80" i="3" s="1"/>
  <c r="M81" i="3"/>
  <c r="N81" i="3" s="1"/>
  <c r="M82" i="3"/>
  <c r="N82" i="3" s="1"/>
  <c r="M83" i="3"/>
  <c r="N83" i="3" s="1"/>
  <c r="M84" i="3"/>
  <c r="N84" i="3" s="1"/>
  <c r="M85" i="3"/>
  <c r="N85" i="3" s="1"/>
  <c r="M86" i="3"/>
  <c r="N86" i="3" s="1"/>
  <c r="M87" i="3"/>
  <c r="N87" i="3" s="1"/>
  <c r="M88" i="3"/>
  <c r="N88" i="3" s="1"/>
  <c r="M89" i="3"/>
  <c r="N89" i="3" s="1"/>
  <c r="M90" i="3"/>
  <c r="N90" i="3" s="1"/>
  <c r="M91" i="3"/>
  <c r="N91" i="3" s="1"/>
  <c r="M92" i="3"/>
  <c r="N92" i="3" s="1"/>
  <c r="M93" i="3"/>
  <c r="N93" i="3" s="1"/>
  <c r="M94" i="3"/>
  <c r="N94" i="3" s="1"/>
  <c r="M95" i="3"/>
  <c r="N95" i="3" s="1"/>
  <c r="M96" i="3"/>
  <c r="N96" i="3" s="1"/>
  <c r="M97" i="3"/>
  <c r="N97" i="3" s="1"/>
  <c r="M98" i="3"/>
  <c r="N98" i="3" s="1"/>
  <c r="M99" i="3"/>
  <c r="N99" i="3" s="1"/>
  <c r="M100" i="3"/>
  <c r="N100" i="3" s="1"/>
  <c r="M101" i="3"/>
  <c r="N101" i="3" s="1"/>
  <c r="M102" i="3"/>
  <c r="N102" i="3" s="1"/>
  <c r="M103" i="3"/>
  <c r="N103" i="3" s="1"/>
  <c r="M104" i="3"/>
  <c r="N104" i="3" s="1"/>
  <c r="M105" i="3"/>
  <c r="N105" i="3" s="1"/>
  <c r="M106" i="3"/>
  <c r="N106" i="3" s="1"/>
  <c r="M107" i="3"/>
  <c r="N107" i="3" s="1"/>
  <c r="M108" i="3"/>
  <c r="N108" i="3" s="1"/>
  <c r="M109" i="3"/>
  <c r="N109" i="3" s="1"/>
  <c r="M110" i="3"/>
  <c r="N110" i="3" s="1"/>
  <c r="M111" i="3"/>
  <c r="N111" i="3" s="1"/>
  <c r="M112" i="3"/>
  <c r="N112" i="3" s="1"/>
  <c r="M113" i="3"/>
  <c r="N113" i="3" s="1"/>
  <c r="M114" i="3"/>
  <c r="N114" i="3" s="1"/>
  <c r="M115" i="3"/>
  <c r="N115" i="3" s="1"/>
  <c r="M116" i="3"/>
  <c r="N116" i="3" s="1"/>
  <c r="M117" i="3"/>
  <c r="N117" i="3" s="1"/>
  <c r="M118" i="3"/>
  <c r="N118" i="3" s="1"/>
  <c r="M119" i="3"/>
  <c r="N119" i="3" s="1"/>
  <c r="M120" i="3"/>
  <c r="N120" i="3" s="1"/>
  <c r="M121" i="3"/>
  <c r="N121" i="3" s="1"/>
  <c r="M122" i="3"/>
  <c r="N122" i="3" s="1"/>
  <c r="M123" i="3"/>
  <c r="N123" i="3" s="1"/>
  <c r="M124" i="3"/>
  <c r="N124" i="3" s="1"/>
  <c r="M125" i="3"/>
  <c r="N125" i="3" s="1"/>
  <c r="M126" i="3"/>
  <c r="N126" i="3" s="1"/>
  <c r="M127" i="3"/>
  <c r="N127" i="3" s="1"/>
  <c r="M128" i="3"/>
  <c r="N128" i="3" s="1"/>
  <c r="M129" i="3"/>
  <c r="N129" i="3" s="1"/>
  <c r="M130" i="3"/>
  <c r="N130" i="3" s="1"/>
  <c r="M131" i="3"/>
  <c r="N131" i="3" s="1"/>
  <c r="M132" i="3"/>
  <c r="N132" i="3" s="1"/>
  <c r="M133" i="3"/>
  <c r="N133" i="3" s="1"/>
  <c r="M134" i="3"/>
  <c r="N134" i="3" s="1"/>
  <c r="M135" i="3"/>
  <c r="N135" i="3" s="1"/>
  <c r="M136" i="3"/>
  <c r="N136" i="3" s="1"/>
  <c r="M137" i="3"/>
  <c r="N137" i="3" s="1"/>
  <c r="M138" i="3"/>
  <c r="N138" i="3" s="1"/>
  <c r="M139" i="3"/>
  <c r="N139" i="3" s="1"/>
  <c r="M140" i="3"/>
  <c r="N140" i="3" s="1"/>
  <c r="M141" i="3"/>
  <c r="N141" i="3" s="1"/>
  <c r="M142" i="3"/>
  <c r="N142" i="3" s="1"/>
  <c r="M143" i="3"/>
  <c r="N143" i="3" s="1"/>
  <c r="M144" i="3"/>
  <c r="N144" i="3" s="1"/>
  <c r="M145" i="3"/>
  <c r="N145" i="3" s="1"/>
  <c r="M146" i="3"/>
  <c r="N146" i="3" s="1"/>
  <c r="M147" i="3"/>
  <c r="N147" i="3" s="1"/>
  <c r="M148" i="3"/>
  <c r="N148" i="3" s="1"/>
  <c r="M149" i="3"/>
  <c r="N149" i="3" s="1"/>
  <c r="M150" i="3"/>
  <c r="N150" i="3" s="1"/>
  <c r="M151" i="3"/>
  <c r="N151" i="3" s="1"/>
  <c r="M152" i="3"/>
  <c r="N152" i="3" s="1"/>
  <c r="M153" i="3"/>
  <c r="N153" i="3" s="1"/>
  <c r="M154" i="3"/>
  <c r="N154" i="3" s="1"/>
  <c r="M155" i="3"/>
  <c r="N155" i="3" s="1"/>
  <c r="M156" i="3"/>
  <c r="N156" i="3" s="1"/>
  <c r="M6" i="3"/>
  <c r="N6" i="3" s="1"/>
  <c r="J148" i="3"/>
  <c r="L148" i="3" s="1"/>
  <c r="J113" i="3"/>
  <c r="J114" i="3"/>
  <c r="J115" i="3"/>
  <c r="J116" i="3"/>
  <c r="J126" i="3"/>
  <c r="L126" i="3" s="1"/>
  <c r="J127" i="3"/>
  <c r="J144" i="3"/>
  <c r="J156" i="3"/>
  <c r="J155" i="3"/>
  <c r="L150" i="3"/>
  <c r="L130" i="3"/>
  <c r="N39" i="3" l="1"/>
</calcChain>
</file>

<file path=xl/sharedStrings.xml><?xml version="1.0" encoding="utf-8"?>
<sst xmlns="http://schemas.openxmlformats.org/spreadsheetml/2006/main" count="582" uniqueCount="216">
  <si>
    <r>
      <rPr>
        <b/>
        <sz val="8"/>
        <rFont val="Times New Roman"/>
        <family val="1"/>
      </rPr>
      <t>Phụ lục III</t>
    </r>
  </si>
  <si>
    <r>
      <rPr>
        <b/>
        <sz val="8"/>
        <rFont val="Times New Roman"/>
        <family val="1"/>
      </rPr>
      <t>BẢNG TỔNG HỢP KINH PHÍ PHÒNG, CHỐNG DỊCH ỆNH ĐỘNG VẬT NĂM 2025</t>
    </r>
  </si>
  <si>
    <r>
      <rPr>
        <i/>
        <sz val="8"/>
        <rFont val="Times New Roman"/>
        <family val="1"/>
      </rPr>
      <t>(Kèm theo Báo cáo số:                /BC-PKT ngày           /01/2026 của UBND xã Việt An)</t>
    </r>
  </si>
  <si>
    <r>
      <rPr>
        <i/>
        <sz val="7.5"/>
        <rFont val="Times New Roman"/>
        <family val="1"/>
      </rPr>
      <t>ĐVT: Triệu đồng</t>
    </r>
  </si>
  <si>
    <r>
      <rPr>
        <b/>
        <sz val="7.5"/>
        <rFont val="Times New Roman"/>
        <family val="1"/>
      </rPr>
      <t>STT</t>
    </r>
  </si>
  <si>
    <r>
      <rPr>
        <b/>
        <sz val="7.5"/>
        <rFont val="Times New Roman"/>
        <family val="1"/>
      </rPr>
      <t>Nội dung chi</t>
    </r>
  </si>
  <si>
    <r>
      <rPr>
        <b/>
        <sz val="7.5"/>
        <rFont val="Times New Roman"/>
        <family val="1"/>
      </rPr>
      <t>Kinh phí thực hiện</t>
    </r>
  </si>
  <si>
    <r>
      <rPr>
        <b/>
        <sz val="7.5"/>
        <rFont val="Times New Roman"/>
        <family val="1"/>
      </rPr>
      <t>Tổng nhu cầu kinh phí</t>
    </r>
  </si>
  <si>
    <r>
      <rPr>
        <b/>
        <sz val="7.5"/>
        <rFont val="Times New Roman"/>
        <family val="1"/>
      </rPr>
      <t>Trong đó:</t>
    </r>
  </si>
  <si>
    <r>
      <rPr>
        <b/>
        <sz val="7.5"/>
        <rFont val="Times New Roman"/>
        <family val="1"/>
      </rPr>
      <t>Ghi chú</t>
    </r>
  </si>
  <si>
    <r>
      <rPr>
        <b/>
        <sz val="7.5"/>
        <rFont val="Times New Roman"/>
        <family val="1"/>
      </rPr>
      <t xml:space="preserve">Chi theo Quyết định số 1210/QĐ-UBND ngày 06/4/2018 và Quyết định số 1798/QĐ-UBND ngày 30/6/2021 đối với các địa phương thuộc tỉnh Quảng Nam (cũ) và Quyết
</t>
    </r>
    <r>
      <rPr>
        <b/>
        <sz val="7.5"/>
        <rFont val="Times New Roman"/>
        <family val="1"/>
      </rPr>
      <t>định số 10/2019/QĐ-UBND ngày 01/02/2019 đối với các địa phương thuộc TP Đà Nẵng (cũ)</t>
    </r>
  </si>
  <si>
    <r>
      <rPr>
        <b/>
        <sz val="7.5"/>
        <rFont val="Times New Roman"/>
        <family val="1"/>
      </rPr>
      <t xml:space="preserve">Chi theo Nghị định số 116/2025/NĐ-
</t>
    </r>
    <r>
      <rPr>
        <b/>
        <sz val="7.5"/>
        <rFont val="Times New Roman"/>
        <family val="1"/>
      </rPr>
      <t xml:space="preserve">CP ngày 05/6/2025
</t>
    </r>
    <r>
      <rPr>
        <b/>
        <sz val="7.5"/>
        <rFont val="Times New Roman"/>
        <family val="1"/>
      </rPr>
      <t>(Kể từ ngày 25/7/2025)</t>
    </r>
  </si>
  <si>
    <r>
      <rPr>
        <b/>
        <sz val="7.5"/>
        <rFont val="Times New Roman"/>
        <family val="1"/>
      </rPr>
      <t>Chi theo thực tế và các quy định hiện hành của nhà nước</t>
    </r>
  </si>
  <si>
    <r>
      <rPr>
        <b/>
        <sz val="7.5"/>
        <rFont val="Times New Roman"/>
        <family val="1"/>
      </rPr>
      <t>Kinh phí đã được chi trả</t>
    </r>
  </si>
  <si>
    <r>
      <rPr>
        <b/>
        <sz val="7.5"/>
        <rFont val="Times New Roman"/>
        <family val="1"/>
      </rPr>
      <t>Kinh phí chưa được chi trả</t>
    </r>
  </si>
  <si>
    <r>
      <rPr>
        <b/>
        <sz val="7.5"/>
        <rFont val="Times New Roman"/>
        <family val="1"/>
      </rPr>
      <t xml:space="preserve">1+2+3=4=5+
</t>
    </r>
    <r>
      <rPr>
        <b/>
        <sz val="7.5"/>
        <rFont val="Times New Roman"/>
        <family val="1"/>
      </rPr>
      <t>6</t>
    </r>
  </si>
  <si>
    <r>
      <rPr>
        <b/>
        <sz val="7.5"/>
        <rFont val="Times New Roman"/>
        <family val="1"/>
      </rPr>
      <t>TỔNG CỘNG</t>
    </r>
  </si>
  <si>
    <r>
      <rPr>
        <sz val="7.5"/>
        <rFont val="Times New Roman"/>
        <family val="1"/>
      </rPr>
      <t>Chi hỗ trợ đối với lực lượng trực tiếp tham gia phòng, chống dịch bệnh.  Trong đó:</t>
    </r>
  </si>
  <si>
    <r>
      <rPr>
        <sz val="7.5"/>
        <rFont val="Times New Roman"/>
        <family val="1"/>
      </rPr>
      <t>a)</t>
    </r>
  </si>
  <si>
    <r>
      <rPr>
        <sz val="7.5"/>
        <rFont val="Times New Roman"/>
        <family val="1"/>
      </rPr>
      <t>Người hưởng lương từ ngân sách nhà nước</t>
    </r>
  </si>
  <si>
    <r>
      <rPr>
        <sz val="7.5"/>
        <rFont val="Times New Roman"/>
        <family val="1"/>
      </rPr>
      <t>Phụ lục III</t>
    </r>
  </si>
  <si>
    <r>
      <rPr>
        <sz val="7.5"/>
        <rFont val="Times New Roman"/>
        <family val="1"/>
      </rPr>
      <t>b)</t>
    </r>
  </si>
  <si>
    <r>
      <rPr>
        <sz val="7.5"/>
        <rFont val="Times New Roman"/>
        <family val="1"/>
      </rPr>
      <t xml:space="preserve">Người không hưởng lương từ ngân sách
</t>
    </r>
    <r>
      <rPr>
        <sz val="7.5"/>
        <rFont val="Times New Roman"/>
        <family val="1"/>
      </rPr>
      <t>nhà nước</t>
    </r>
  </si>
  <si>
    <r>
      <rPr>
        <sz val="7.5"/>
        <rFont val="Times New Roman"/>
        <family val="1"/>
      </rPr>
      <t>Phụ lục IV</t>
    </r>
  </si>
  <si>
    <r>
      <rPr>
        <sz val="7.5"/>
        <rFont val="Times New Roman"/>
        <family val="1"/>
      </rPr>
      <t>Kinh phí xét nghiệm bệnh gồm: xét nghiệm mẫu, mua dụng cụ, vật tư lấy mẫu, công lấy mẫu, chi phí gửi mẫu</t>
    </r>
  </si>
  <si>
    <r>
      <rPr>
        <sz val="7.5"/>
        <rFont val="Times New Roman"/>
        <family val="1"/>
      </rPr>
      <t xml:space="preserve">Xét
</t>
    </r>
    <r>
      <rPr>
        <sz val="7.5"/>
        <rFont val="Times New Roman"/>
        <family val="1"/>
      </rPr>
      <t xml:space="preserve">nghiệm
</t>
    </r>
    <r>
      <rPr>
        <sz val="7.5"/>
        <rFont val="Times New Roman"/>
        <family val="1"/>
      </rPr>
      <t xml:space="preserve">7.800.000;
</t>
    </r>
    <r>
      <rPr>
        <sz val="7.5"/>
        <rFont val="Times New Roman"/>
        <family val="1"/>
      </rPr>
      <t>tiền gửi mẫu 2.400.000</t>
    </r>
  </si>
  <si>
    <r>
      <rPr>
        <sz val="7.5"/>
        <rFont val="Times New Roman"/>
        <family val="1"/>
      </rPr>
      <t xml:space="preserve">Chi trả công lao động phổ thông (bao gồm cả trang phục bảo hộ phòng, chống dịch) thực hiện tiêu hủy động vật hoặc thuê
</t>
    </r>
    <r>
      <rPr>
        <sz val="7.5"/>
        <rFont val="Times New Roman"/>
        <family val="1"/>
      </rPr>
      <t>phương tiện cơ giới (xe múc, xe vận tải...) để đào hố, thu gom vận chuyển xác động vật từ nơi chăn nuôi đến hố chôn</t>
    </r>
  </si>
  <si>
    <r>
      <rPr>
        <sz val="7.5"/>
        <rFont val="Times New Roman"/>
        <family val="1"/>
      </rPr>
      <t>Chi phí mua vật tư, hóa chất, thiết bị phục vụ chống dịch bệnh</t>
    </r>
  </si>
  <si>
    <r>
      <rPr>
        <sz val="7.5"/>
        <rFont val="Times New Roman"/>
        <family val="1"/>
      </rPr>
      <t>Mua vắc xin tiêm phòng đợt 2/2025 (đối với 02 loại vắc xin được hỗ trợ từ ngân sách nhà nước)</t>
    </r>
  </si>
  <si>
    <r>
      <rPr>
        <sz val="7.5"/>
        <rFont val="Times New Roman"/>
        <family val="1"/>
      </rPr>
      <t>Chi cục Chăn nuôi và Thú Y thành phố cấp</t>
    </r>
  </si>
  <si>
    <t>Phụ lục I</t>
  </si>
  <si>
    <t>BẢNG TỔNG HỢP SỐ LIỆU LỢN TIÊU HỦY DO MẮC BỆNH DỊCH TẢ LỢN CHÂU PHI NĂM 2025</t>
  </si>
  <si>
    <t>(Kèm theo Báo cáo số:                 /BC-UBND ngày            /01/2026 của UBND xã Việt An)</t>
  </si>
  <si>
    <t>ĐVT: Triệu đồng</t>
  </si>
  <si>
    <t>STT</t>
  </si>
  <si>
    <t>Xã, phường</t>
  </si>
  <si>
    <t>Trong đó:</t>
  </si>
  <si>
    <t>Tổng nhu cầu kinh phí đề nghị ngân sách nhà nước hỗ trợ</t>
  </si>
  <si>
    <t>Từ ngày 01/01/2025 đến ngày 24/7/2025</t>
  </si>
  <si>
    <t>Từ ngày 25/7/2025 đến ngày 31/12/2025</t>
  </si>
  <si>
    <t>Kinh phí hỗ trợ theo Nghị định số 116/2025/NĐ-CP ngày 05/6/2025</t>
  </si>
  <si>
    <t>Kinh phí chưa chi trả</t>
  </si>
  <si>
    <t>Số hộ</t>
  </si>
  <si>
    <t>Số lợn tiêu hủy (con)</t>
  </si>
  <si>
    <t>Trọng lượng tiêu hủy (kg)</t>
  </si>
  <si>
    <t>Số lợn tiêu hủy</t>
  </si>
  <si>
    <t>Trọng lượng tiêu hủy</t>
  </si>
  <si>
    <t>Nhu cầu kinh phí đề nghị ngân sách nhà nước hỗ trợ</t>
  </si>
  <si>
    <t>Mức hỗ trợ (triệu đồng/kg)</t>
  </si>
  <si>
    <t>Tổng số</t>
  </si>
  <si>
    <t>Trong đó</t>
  </si>
  <si>
    <t>Lợn nái, đực giốn g đang khai thác</t>
  </si>
  <si>
    <t>Lợn con, lợn thịt các loại</t>
  </si>
  <si>
    <t>Trọng lượng lợn nái, lợn đực giống đang khai thác</t>
  </si>
  <si>
    <t>Trọng lượng lợn con, lợn thịt các loại</t>
  </si>
  <si>
    <t>Lợn nái, đực giống đang khai thác</t>
  </si>
  <si>
    <t>Xã Việt An</t>
  </si>
  <si>
    <t>An Cường</t>
  </si>
  <si>
    <t>An Phố</t>
  </si>
  <si>
    <t>An Phú</t>
  </si>
  <si>
    <t>An Tráng</t>
  </si>
  <si>
    <t>Bắc An Sơn</t>
  </si>
  <si>
    <t>Hội Tường</t>
  </si>
  <si>
    <t>Mỹ Thạnh</t>
  </si>
  <si>
    <t>Ngọc Chánh</t>
  </si>
  <si>
    <t>Nhị Phú</t>
  </si>
  <si>
    <t>Nhứt Đông</t>
  </si>
  <si>
    <t>Nhứt Tây</t>
  </si>
  <si>
    <t>Phú Bình</t>
  </si>
  <si>
    <t>Phú Cốc Đông</t>
  </si>
  <si>
    <t>Phú Cốc Tây</t>
  </si>
  <si>
    <t>Tuy Hòa</t>
  </si>
  <si>
    <t>Việt An</t>
  </si>
  <si>
    <t>Cẩm Tú</t>
  </si>
  <si>
    <t>Hóa Trung</t>
  </si>
  <si>
    <t>Phú Mỹ</t>
  </si>
  <si>
    <t>Nhì tây</t>
  </si>
  <si>
    <t>Tổng cộng</t>
  </si>
  <si>
    <r>
      <rPr>
        <b/>
        <sz val="9"/>
        <rFont val="Times New Roman"/>
        <family val="1"/>
      </rPr>
      <t>Kinh phí hỗ trợ theo Quyết định 1210/QĐ-UBND và Quyết định 1798/QĐ-UBND đối với các địa phương thuộc
tỉnh Quảng Nam (cũ) và Quyết định số
10/2019/QĐ-UBND
ngày 01/02/2019 đối với các địa phương thuộc
TP Đà Nẵng (cũ)</t>
    </r>
  </si>
  <si>
    <r>
      <rPr>
        <b/>
        <sz val="9"/>
        <rFont val="Times New Roman"/>
        <family val="1"/>
      </rPr>
      <t>Kinh phí
đã chi trả</t>
    </r>
  </si>
  <si>
    <r>
      <rPr>
        <b/>
        <sz val="9"/>
        <rFont val="Times New Roman"/>
        <family val="1"/>
      </rPr>
      <t>Số
thôn</t>
    </r>
  </si>
  <si>
    <r>
      <rPr>
        <b/>
        <sz val="9"/>
        <rFont val="Times New Roman"/>
        <family val="1"/>
      </rPr>
      <t>Mức hỗ trợ
(triệu đồng/kg)</t>
    </r>
  </si>
  <si>
    <t>SAI</t>
  </si>
  <si>
    <t>NGHI VẤN</t>
  </si>
  <si>
    <t>Họ và tên</t>
  </si>
  <si>
    <t>số lượng</t>
  </si>
  <si>
    <t>Kinh phí</t>
  </si>
  <si>
    <t>Ký nhận</t>
  </si>
  <si>
    <t>Tên thôn</t>
  </si>
  <si>
    <t>Trần Thị Liên</t>
  </si>
  <si>
    <t>Đặng Văn Thi</t>
  </si>
  <si>
    <t>Nguyễn Ngọc Hiệu</t>
  </si>
  <si>
    <t>Trần Thị Cúc</t>
  </si>
  <si>
    <t>Trần Thị Yên</t>
  </si>
  <si>
    <t>Trần Trước</t>
  </si>
  <si>
    <t>Nguyễn Thị Phát</t>
  </si>
  <si>
    <t>Nguyễn Mậu Nhị</t>
  </si>
  <si>
    <t>Nguyễn Thị  Hòa Thủy</t>
  </si>
  <si>
    <t>Lê Thị Hồng Phượng</t>
  </si>
  <si>
    <t>Nguyễn Thị  Ngọc Viên</t>
  </si>
  <si>
    <t>Phan Thắng</t>
  </si>
  <si>
    <t>Hoàng Lê</t>
  </si>
  <si>
    <t>Hồng Quang Châu</t>
  </si>
  <si>
    <t>Hoàng Thị Thi</t>
  </si>
  <si>
    <t>Nguyễn Thị Hương</t>
  </si>
  <si>
    <t>Nguyễn Tấn Sinh</t>
  </si>
  <si>
    <t>Nguyễn Lâm</t>
  </si>
  <si>
    <t>Trần Thị Lan</t>
  </si>
  <si>
    <t>Trịnh Thị Tư</t>
  </si>
  <si>
    <t>Dương Thị Tuyết</t>
  </si>
  <si>
    <t>Trần Anh Tuấn</t>
  </si>
  <si>
    <t>Nguyễn Xuân Hải</t>
  </si>
  <si>
    <t>Trần Văn Ba</t>
  </si>
  <si>
    <t>Phạm Ngọc Duyên</t>
  </si>
  <si>
    <t>Lê Văn Thông</t>
  </si>
  <si>
    <t>Nguyễn Văn Thông</t>
  </si>
  <si>
    <t>Phạm Tám</t>
  </si>
  <si>
    <t>Trần Đình Ý</t>
  </si>
  <si>
    <t>Nguyễn Văn Chiến</t>
  </si>
  <si>
    <t>Nguyễn Văn Hương</t>
  </si>
  <si>
    <t>Nguyễn Yến</t>
  </si>
  <si>
    <t>Nguyễn Thị Tân</t>
  </si>
  <si>
    <t>Nguyễn Văn Lộc</t>
  </si>
  <si>
    <t>Nguyễn Văn Chín</t>
  </si>
  <si>
    <t>Nguyễn Thị Nhân</t>
  </si>
  <si>
    <t>Trần Văn Danh</t>
  </si>
  <si>
    <t>Nguyễn Thị Hồng</t>
  </si>
  <si>
    <t>Trần Văn Phong</t>
  </si>
  <si>
    <t>Huỳnh Ngọc Khanh</t>
  </si>
  <si>
    <t>Hồ Văn Dũng</t>
  </si>
  <si>
    <t>Trần Thị Thanh</t>
  </si>
  <si>
    <t>Hồ Ngọc Quốc</t>
  </si>
  <si>
    <t>Lê Văn Thanh</t>
  </si>
  <si>
    <t>Nguyễn Xuân Văn</t>
  </si>
  <si>
    <t>Dũ Văn Năm</t>
  </si>
  <si>
    <t>Lê Mực</t>
  </si>
  <si>
    <t>Trần Văn Mạnh</t>
  </si>
  <si>
    <t>Hồ Phước Thanh</t>
  </si>
  <si>
    <t>Lý Thị Sương</t>
  </si>
  <si>
    <t>Nguyễn Văn Quý</t>
  </si>
  <si>
    <t>Nguyễn Thị Liên</t>
  </si>
  <si>
    <t>Huỳnh Tịnh</t>
  </si>
  <si>
    <t>Nguyễn Văn Lào</t>
  </si>
  <si>
    <t>Hồ Thị Lộc</t>
  </si>
  <si>
    <t>Trương Văn Phụng</t>
  </si>
  <si>
    <t>Nguyễn Viết Sơn</t>
  </si>
  <si>
    <t>Phạm Ngoc Duyên</t>
  </si>
  <si>
    <t>Hồ Văn Cẩm</t>
  </si>
  <si>
    <t>Hồ Văn Sáu</t>
  </si>
  <si>
    <t>Trương Thị Liễu</t>
  </si>
  <si>
    <t>Hồ Ngọc Đạt</t>
  </si>
  <si>
    <t>Trần Văn Năm</t>
  </si>
  <si>
    <t>Dương Thị Kim Thôi</t>
  </si>
  <si>
    <t>Trần Văn Giang</t>
  </si>
  <si>
    <t>Nguyễn Văn Hùng</t>
  </si>
  <si>
    <t>Nguyễn Thị Đáng</t>
  </si>
  <si>
    <t>Trần Văn Khương</t>
  </si>
  <si>
    <t>Dương Tấn Khởi</t>
  </si>
  <si>
    <t>Lê Thị Ba</t>
  </si>
  <si>
    <t>Nguyễn Văn Thới</t>
  </si>
  <si>
    <t>Nguyễn Thị Thúy</t>
  </si>
  <si>
    <t>Ngô Lãnh</t>
  </si>
  <si>
    <t>Hồ Thị Thành</t>
  </si>
  <si>
    <t>Nguyễn Thị Tuyết Nhung</t>
  </si>
  <si>
    <t>Trịnh Ký Đàn</t>
  </si>
  <si>
    <t>Phạm Văn Minh</t>
  </si>
  <si>
    <t>PhạmThị Lụa</t>
  </si>
  <si>
    <t>Ngô Cam</t>
  </si>
  <si>
    <t>Nguyễn Thị Ngọc</t>
  </si>
  <si>
    <t>Phạm Thị Mươi</t>
  </si>
  <si>
    <t>Trịnh Lanh</t>
  </si>
  <si>
    <t>Nguyễn Văn Rầm</t>
  </si>
  <si>
    <t>Huỳnh Sơn</t>
  </si>
  <si>
    <t>Tôn Thị Thu</t>
  </si>
  <si>
    <t>Nguyễn Đình Tiến</t>
  </si>
  <si>
    <t>Trần Kông Thắng</t>
  </si>
  <si>
    <t>Ngô Văn Lào</t>
  </si>
  <si>
    <t>Nguyễn Thị Một</t>
  </si>
  <si>
    <t>Huỳnh Thị Nhạn</t>
  </si>
  <si>
    <t>Huỳnh Thị Hương</t>
  </si>
  <si>
    <t>Trần Mùi</t>
  </si>
  <si>
    <t>Tô Văn Hiến</t>
  </si>
  <si>
    <t>Nguyễn Thị Quý</t>
  </si>
  <si>
    <t>Trương Văn Nhân</t>
  </si>
  <si>
    <t>Trương Văn Đào</t>
  </si>
  <si>
    <t>Huỳnh Đào</t>
  </si>
  <si>
    <t>Lê Văn Xuân</t>
  </si>
  <si>
    <t>Lê Văn Tây</t>
  </si>
  <si>
    <t>Tạ Đình Có</t>
  </si>
  <si>
    <t>Đoàn Nhì</t>
  </si>
  <si>
    <t>Đặng Ba</t>
  </si>
  <si>
    <t>Huỳnh Quang Nhung</t>
  </si>
  <si>
    <t>Trần Ngọc Đầu</t>
  </si>
  <si>
    <t>Trần Ngọc Diệu</t>
  </si>
  <si>
    <t>Trần Văn Nhặn</t>
  </si>
  <si>
    <t>Huỳnh Đồ</t>
  </si>
  <si>
    <t>Nguyễn Viết Hồng</t>
  </si>
  <si>
    <t>Huỳnh Văn Hòa</t>
  </si>
  <si>
    <t>Phạm Thị Hiền</t>
  </si>
  <si>
    <t>Nguyễn Mậu Quế</t>
  </si>
  <si>
    <t>DANH SÁCH NHẬN TIỀN HỖ TRỢ TIÊU HỦY DO MẮC BỆNH DỊCH TẢ LỢN CHÂU PHI NĂM 2025</t>
  </si>
  <si>
    <t>TỔNG CỘNG</t>
  </si>
  <si>
    <t>Thăng Phước</t>
  </si>
  <si>
    <t>Lộc An</t>
  </si>
  <si>
    <t>Phú Cốc</t>
  </si>
  <si>
    <t>An Sơn</t>
  </si>
  <si>
    <t>Bình Sơn</t>
  </si>
  <si>
    <t>Sơn An</t>
  </si>
  <si>
    <t>Định mức</t>
  </si>
  <si>
    <t>Trọng lượng</t>
  </si>
  <si>
    <t>=</t>
  </si>
  <si>
    <t>hộ</t>
  </si>
  <si>
    <t>Phụ lục II</t>
  </si>
  <si>
    <t>(Ban hành Kèm theo Thông báo số:         /BC-BCĐ ngày       /8/2026 của BCĐ PCDB động vật xã Việt An)</t>
  </si>
  <si>
    <t>An phú</t>
  </si>
  <si>
    <t>Nhì Tây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</si>
</sst>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0" x14ac:knownFonts="1">
    <font>
      <sz val="10"/>
      <color rgb="FF000000"/>
      <name val="Times New Roman"/>
      <charset val="204"/>
    </font>
    <font>
      <b/>
      <sz val="6.5"/>
      <name val="Times New Roman"/>
      <family val="1"/>
    </font>
    <font>
      <i/>
      <sz val="6.5"/>
      <name val="Times New Roman"/>
      <family val="1"/>
    </font>
    <font>
      <b/>
      <sz val="8"/>
      <name val="Times New Roman"/>
      <family val="1"/>
    </font>
    <font>
      <i/>
      <sz val="8"/>
      <name val="Times New Roman"/>
      <family val="1"/>
    </font>
    <font>
      <i/>
      <sz val="7.5"/>
      <name val="Times New Roman"/>
      <family val="1"/>
    </font>
    <font>
      <b/>
      <sz val="7.5"/>
      <name val="Times New Roman"/>
      <family val="1"/>
    </font>
    <font>
      <b/>
      <sz val="7.5"/>
      <color rgb="FF000000"/>
      <name val="Times New Roman"/>
      <family val="2"/>
    </font>
    <font>
      <sz val="7.5"/>
      <name val="Times New Roman"/>
      <family val="1"/>
    </font>
    <font>
      <sz val="7.5"/>
      <color rgb="FF000000"/>
      <name val="Times New Roman"/>
      <family val="2"/>
    </font>
    <font>
      <b/>
      <sz val="9"/>
      <name val="Times New Roman"/>
      <family val="1"/>
    </font>
    <font>
      <i/>
      <sz val="9"/>
      <name val="Times New Roman"/>
      <family val="1"/>
    </font>
    <font>
      <sz val="9"/>
      <color rgb="FF000000"/>
      <name val="Times New Roman"/>
      <family val="1"/>
    </font>
    <font>
      <sz val="10"/>
      <color rgb="FF000000"/>
      <name val="Times New Roman"/>
      <family val="1"/>
    </font>
    <font>
      <sz val="10"/>
      <name val="Times New Roman"/>
      <family val="1"/>
    </font>
    <font>
      <b/>
      <sz val="14"/>
      <name val="Times New Roman"/>
      <family val="1"/>
    </font>
    <font>
      <sz val="13"/>
      <color rgb="FF000000"/>
      <name val="Times New Roman"/>
      <family val="1"/>
    </font>
    <font>
      <sz val="13"/>
      <name val="Times New Roman"/>
      <family val="1"/>
    </font>
    <font>
      <b/>
      <sz val="13"/>
      <name val="Times New Roman"/>
      <family val="1"/>
    </font>
    <font>
      <sz val="6.5"/>
      <name val="Times New Roman"/>
      <family val="1"/>
    </font>
  </fonts>
  <fills count="6">
    <fill>
      <patternFill patternType="none"/>
    </fill>
    <fill>
      <patternFill patternType="gray125"/>
    </fill>
    <fill>
      <patternFill patternType="solid">
        <fgColor theme="0"/>
        <bgColor indexed="64"/>
      </patternFill>
    </fill>
    <fill>
      <patternFill patternType="solid">
        <fgColor theme="4"/>
        <bgColor theme="4"/>
      </patternFill>
    </fill>
    <fill>
      <patternFill patternType="solid">
        <fgColor theme="0"/>
        <bgColor theme="4" tint="0.79998168889431442"/>
      </patternFill>
    </fill>
    <fill>
      <patternFill patternType="solid">
        <fgColor theme="0"/>
        <bgColor theme="4" tint="0.59999389629810485"/>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theme="0"/>
      </right>
      <top style="thin">
        <color rgb="FF000000"/>
      </top>
      <bottom style="thin">
        <color rgb="FF000000"/>
      </bottom>
      <diagonal/>
    </border>
  </borders>
  <cellStyleXfs count="1">
    <xf numFmtId="0" fontId="0" fillId="0" borderId="0"/>
  </cellStyleXfs>
  <cellXfs count="131">
    <xf numFmtId="0" fontId="0" fillId="0" borderId="0" xfId="0" applyAlignment="1">
      <alignment horizontal="left" vertical="top"/>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left" vertical="center" wrapText="1"/>
    </xf>
    <xf numFmtId="0" fontId="0" fillId="0" borderId="1" xfId="0" applyBorder="1" applyAlignment="1">
      <alignment horizontal="left"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1" fontId="7" fillId="0" borderId="1" xfId="0" applyNumberFormat="1" applyFont="1" applyBorder="1" applyAlignment="1">
      <alignment horizontal="center" vertical="top" shrinkToFit="1"/>
    </xf>
    <xf numFmtId="0" fontId="6" fillId="0" borderId="1" xfId="0" applyFont="1" applyBorder="1" applyAlignment="1">
      <alignment horizontal="center" vertical="top" wrapText="1"/>
    </xf>
    <xf numFmtId="3" fontId="7" fillId="0" borderId="1" xfId="0" applyNumberFormat="1" applyFont="1" applyBorder="1" applyAlignment="1">
      <alignment horizontal="center" vertical="top" shrinkToFit="1"/>
    </xf>
    <xf numFmtId="1" fontId="7" fillId="0" borderId="1" xfId="0" applyNumberFormat="1" applyFont="1" applyBorder="1" applyAlignment="1">
      <alignment horizontal="left" vertical="top" indent="1" shrinkToFit="1"/>
    </xf>
    <xf numFmtId="0" fontId="8" fillId="0" borderId="1" xfId="0" applyFont="1" applyBorder="1" applyAlignment="1">
      <alignment horizontal="left" vertical="top" wrapText="1"/>
    </xf>
    <xf numFmtId="0" fontId="8" fillId="0" borderId="1" xfId="0" applyFont="1" applyBorder="1" applyAlignment="1">
      <alignment horizontal="left" vertical="top" wrapText="1" indent="1"/>
    </xf>
    <xf numFmtId="0" fontId="8" fillId="0" borderId="1" xfId="0" applyFont="1" applyBorder="1" applyAlignment="1">
      <alignment horizontal="center" vertical="top" wrapText="1"/>
    </xf>
    <xf numFmtId="1" fontId="9" fillId="0" borderId="1" xfId="0" applyNumberFormat="1" applyFont="1" applyBorder="1" applyAlignment="1">
      <alignment horizontal="center" vertical="top" shrinkToFit="1"/>
    </xf>
    <xf numFmtId="3" fontId="9" fillId="0" borderId="1" xfId="0" applyNumberFormat="1" applyFont="1" applyBorder="1" applyAlignment="1">
      <alignment horizontal="center" vertical="top" shrinkToFit="1"/>
    </xf>
    <xf numFmtId="1" fontId="7" fillId="0" borderId="1" xfId="0" applyNumberFormat="1" applyFont="1" applyBorder="1" applyAlignment="1">
      <alignment horizontal="left" vertical="center" indent="1" shrinkToFit="1"/>
    </xf>
    <xf numFmtId="3" fontId="9" fillId="0" borderId="1" xfId="0" applyNumberFormat="1" applyFont="1" applyBorder="1" applyAlignment="1">
      <alignment horizontal="center" vertical="center" shrinkToFit="1"/>
    </xf>
    <xf numFmtId="3" fontId="7" fillId="0" borderId="1" xfId="0" applyNumberFormat="1" applyFont="1" applyBorder="1" applyAlignment="1">
      <alignment horizontal="center" vertical="center" shrinkToFit="1"/>
    </xf>
    <xf numFmtId="1" fontId="7" fillId="0" borderId="1" xfId="0" applyNumberFormat="1" applyFont="1" applyBorder="1" applyAlignment="1">
      <alignment horizontal="center" vertical="center" shrinkToFi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1" xfId="0" applyFont="1" applyBorder="1" applyAlignment="1">
      <alignment horizontal="left" vertical="center" wrapText="1"/>
    </xf>
    <xf numFmtId="0" fontId="12" fillId="0" borderId="1" xfId="0" applyFont="1" applyBorder="1" applyAlignment="1">
      <alignment horizontal="left" wrapText="1"/>
    </xf>
    <xf numFmtId="3" fontId="0" fillId="0" borderId="0" xfId="0" applyNumberFormat="1" applyAlignment="1">
      <alignment horizontal="left" vertical="top"/>
    </xf>
    <xf numFmtId="1" fontId="13" fillId="0" borderId="1" xfId="0" applyNumberFormat="1" applyFont="1" applyBorder="1" applyAlignment="1">
      <alignment horizontal="center" vertical="top" shrinkToFit="1"/>
    </xf>
    <xf numFmtId="0" fontId="14" fillId="0" borderId="1" xfId="0" applyFont="1" applyBorder="1" applyAlignment="1">
      <alignment horizontal="left" vertical="center" wrapText="1"/>
    </xf>
    <xf numFmtId="3" fontId="13" fillId="0" borderId="1" xfId="0" applyNumberFormat="1" applyFont="1" applyBorder="1" applyAlignment="1">
      <alignment horizontal="center" vertical="center" shrinkToFit="1"/>
    </xf>
    <xf numFmtId="0" fontId="14" fillId="0" borderId="1" xfId="0" applyFont="1" applyBorder="1" applyAlignment="1">
      <alignment horizontal="left" vertical="top" wrapText="1"/>
    </xf>
    <xf numFmtId="3" fontId="13" fillId="0" borderId="1" xfId="0" applyNumberFormat="1" applyFont="1" applyBorder="1" applyAlignment="1">
      <alignment horizontal="center" vertical="top" shrinkToFit="1"/>
    </xf>
    <xf numFmtId="4" fontId="1" fillId="3" borderId="14" xfId="0" applyNumberFormat="1" applyFont="1" applyFill="1" applyBorder="1" applyAlignment="1">
      <alignment horizontal="center" vertical="center" wrapText="1"/>
    </xf>
    <xf numFmtId="4" fontId="13" fillId="0" borderId="0" xfId="0" applyNumberFormat="1" applyFont="1" applyAlignment="1">
      <alignment horizontal="left" vertical="top"/>
    </xf>
    <xf numFmtId="0" fontId="15" fillId="0" borderId="1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2" fillId="0" borderId="9" xfId="0" applyFont="1" applyBorder="1" applyAlignment="1">
      <alignment horizontal="right" vertical="top" wrapText="1"/>
    </xf>
    <xf numFmtId="0" fontId="0" fillId="0" borderId="0" xfId="0" applyAlignment="1">
      <alignment horizontal="right" vertical="top"/>
    </xf>
    <xf numFmtId="1" fontId="16" fillId="2" borderId="13" xfId="0" applyNumberFormat="1" applyFont="1" applyFill="1" applyBorder="1" applyAlignment="1">
      <alignment horizontal="center" vertical="top" shrinkToFit="1"/>
    </xf>
    <xf numFmtId="0" fontId="17" fillId="2" borderId="1" xfId="0" applyFont="1" applyFill="1" applyBorder="1" applyAlignment="1">
      <alignment horizontal="center" vertical="top" wrapText="1"/>
    </xf>
    <xf numFmtId="1" fontId="16" fillId="2" borderId="1" xfId="0" applyNumberFormat="1" applyFont="1" applyFill="1" applyBorder="1" applyAlignment="1">
      <alignment horizontal="center" vertical="top" shrinkToFit="1"/>
    </xf>
    <xf numFmtId="0" fontId="17" fillId="2" borderId="11" xfId="0" applyFont="1" applyFill="1" applyBorder="1" applyAlignment="1">
      <alignment horizontal="center" vertical="top" wrapText="1"/>
    </xf>
    <xf numFmtId="3" fontId="18" fillId="3" borderId="14" xfId="0" applyNumberFormat="1" applyFont="1" applyFill="1" applyBorder="1" applyAlignment="1">
      <alignment horizontal="right" vertical="top" wrapText="1"/>
    </xf>
    <xf numFmtId="0" fontId="19" fillId="2" borderId="1" xfId="0" applyFont="1" applyFill="1" applyBorder="1" applyAlignment="1">
      <alignment horizontal="center" vertical="top" wrapText="1"/>
    </xf>
    <xf numFmtId="3" fontId="16" fillId="2" borderId="11" xfId="0" applyNumberFormat="1" applyFont="1" applyFill="1" applyBorder="1" applyAlignment="1">
      <alignment horizontal="right" vertical="top" shrinkToFit="1"/>
    </xf>
    <xf numFmtId="3" fontId="17" fillId="2" borderId="11" xfId="0" applyNumberFormat="1" applyFont="1" applyFill="1" applyBorder="1" applyAlignment="1">
      <alignment horizontal="right" vertical="top" wrapText="1"/>
    </xf>
    <xf numFmtId="0" fontId="16" fillId="2" borderId="11" xfId="0" applyFont="1" applyFill="1" applyBorder="1" applyAlignment="1">
      <alignment horizontal="center" vertical="center" wrapText="1"/>
    </xf>
    <xf numFmtId="3" fontId="16" fillId="2" borderId="1" xfId="0" applyNumberFormat="1" applyFont="1" applyFill="1" applyBorder="1" applyAlignment="1">
      <alignment horizontal="center" vertical="top" shrinkToFit="1"/>
    </xf>
    <xf numFmtId="164" fontId="16" fillId="2" borderId="1" xfId="0" applyNumberFormat="1" applyFont="1" applyFill="1" applyBorder="1" applyAlignment="1">
      <alignment horizontal="center" vertical="top" shrinkToFit="1"/>
    </xf>
    <xf numFmtId="0" fontId="2" fillId="0" borderId="9" xfId="0" applyFont="1" applyBorder="1" applyAlignment="1">
      <alignment horizontal="center" vertical="top" wrapText="1"/>
    </xf>
    <xf numFmtId="0" fontId="13" fillId="2" borderId="0" xfId="0" applyFont="1" applyFill="1" applyAlignment="1">
      <alignment horizontal="left" vertical="top"/>
    </xf>
    <xf numFmtId="0" fontId="19" fillId="4" borderId="1" xfId="0" applyFont="1" applyFill="1" applyBorder="1" applyAlignment="1">
      <alignment horizontal="center" vertical="top" wrapText="1"/>
    </xf>
    <xf numFmtId="0" fontId="19" fillId="5" borderId="1" xfId="0" applyFont="1" applyFill="1" applyBorder="1" applyAlignment="1">
      <alignment horizontal="center" vertical="top" wrapText="1"/>
    </xf>
    <xf numFmtId="1" fontId="16" fillId="2" borderId="13" xfId="0" applyNumberFormat="1" applyFont="1" applyFill="1" applyBorder="1" applyAlignment="1">
      <alignment horizontal="center" vertical="center" shrinkToFit="1"/>
    </xf>
    <xf numFmtId="0" fontId="17" fillId="2" borderId="1" xfId="0" applyFont="1" applyFill="1" applyBorder="1" applyAlignment="1">
      <alignment horizontal="center" vertical="center" wrapText="1"/>
    </xf>
    <xf numFmtId="1" fontId="16" fillId="2" borderId="1" xfId="0" applyNumberFormat="1" applyFont="1" applyFill="1" applyBorder="1" applyAlignment="1">
      <alignment horizontal="center" vertical="center" shrinkToFit="1"/>
    </xf>
    <xf numFmtId="0" fontId="19" fillId="4" borderId="1" xfId="0" applyFont="1" applyFill="1" applyBorder="1" applyAlignment="1">
      <alignment horizontal="center" vertical="center" wrapText="1"/>
    </xf>
    <xf numFmtId="3" fontId="13" fillId="2" borderId="0" xfId="0" applyNumberFormat="1" applyFont="1" applyFill="1" applyAlignment="1">
      <alignment horizontal="left" vertical="top"/>
    </xf>
    <xf numFmtId="0" fontId="19" fillId="5" borderId="1"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9" fillId="2" borderId="1" xfId="0" applyFont="1" applyFill="1" applyBorder="1" applyAlignment="1">
      <alignment horizontal="center" vertical="center" wrapText="1"/>
    </xf>
    <xf numFmtId="4" fontId="13" fillId="2" borderId="0" xfId="0" applyNumberFormat="1" applyFont="1" applyFill="1" applyAlignment="1">
      <alignment horizontal="left" vertical="top"/>
    </xf>
    <xf numFmtId="0" fontId="16" fillId="2" borderId="1" xfId="0" applyFont="1" applyFill="1" applyBorder="1" applyAlignment="1">
      <alignment horizontal="center" vertical="center" wrapText="1"/>
    </xf>
    <xf numFmtId="1" fontId="16" fillId="2" borderId="7" xfId="0" applyNumberFormat="1" applyFont="1" applyFill="1" applyBorder="1" applyAlignment="1">
      <alignment horizontal="center" vertical="center" wrapText="1" shrinkToFit="1"/>
    </xf>
    <xf numFmtId="0" fontId="17" fillId="2" borderId="2" xfId="0" applyFont="1" applyFill="1" applyBorder="1" applyAlignment="1">
      <alignment horizontal="center" vertical="center" wrapText="1"/>
    </xf>
    <xf numFmtId="0" fontId="17" fillId="2" borderId="5" xfId="0" applyFont="1" applyFill="1" applyBorder="1" applyAlignment="1">
      <alignment horizontal="center" vertical="center" wrapText="1"/>
    </xf>
    <xf numFmtId="4" fontId="17" fillId="2" borderId="5" xfId="0"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0" fillId="0" borderId="2" xfId="0" applyFont="1" applyBorder="1" applyAlignment="1">
      <alignment horizontal="left" vertical="center" wrapText="1" indent="1"/>
    </xf>
    <xf numFmtId="0" fontId="10" fillId="0" borderId="4" xfId="0" applyFont="1" applyBorder="1" applyAlignment="1">
      <alignment horizontal="left" vertical="center" wrapText="1" indent="1"/>
    </xf>
    <xf numFmtId="0" fontId="10" fillId="0" borderId="11" xfId="0" applyFont="1" applyBorder="1" applyAlignment="1">
      <alignment horizontal="left" vertical="top" wrapText="1" indent="3"/>
    </xf>
    <xf numFmtId="0" fontId="10" fillId="0" borderId="13" xfId="0" applyFont="1" applyBorder="1" applyAlignment="1">
      <alignment horizontal="left" vertical="top" wrapText="1" indent="3"/>
    </xf>
    <xf numFmtId="0" fontId="10" fillId="0" borderId="11" xfId="0" applyFont="1" applyBorder="1" applyAlignment="1">
      <alignment horizontal="left" vertical="top" wrapText="1" indent="2"/>
    </xf>
    <xf numFmtId="0" fontId="10" fillId="0" borderId="13" xfId="0" applyFont="1" applyBorder="1" applyAlignment="1">
      <alignment horizontal="left" vertical="top" wrapText="1" indent="2"/>
    </xf>
    <xf numFmtId="0" fontId="14" fillId="0" borderId="11" xfId="0" applyFont="1" applyBorder="1" applyAlignment="1">
      <alignment horizontal="left" vertical="top" wrapText="1" indent="1"/>
    </xf>
    <xf numFmtId="0" fontId="14" fillId="0" borderId="13" xfId="0" applyFont="1" applyBorder="1" applyAlignment="1">
      <alignment horizontal="left" vertical="top" wrapText="1" indent="1"/>
    </xf>
    <xf numFmtId="0" fontId="10" fillId="0" borderId="11" xfId="0" applyFont="1" applyBorder="1" applyAlignment="1">
      <alignment horizontal="left" vertical="top" wrapText="1"/>
    </xf>
    <xf numFmtId="0" fontId="10" fillId="0" borderId="13" xfId="0" applyFont="1" applyBorder="1" applyAlignment="1">
      <alignment horizontal="left" vertical="top"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11" xfId="0" applyFont="1" applyBorder="1" applyAlignment="1">
      <alignment horizontal="left" vertical="top" wrapText="1" indent="1"/>
    </xf>
    <xf numFmtId="0" fontId="10" fillId="0" borderId="13" xfId="0" applyFont="1" applyBorder="1" applyAlignment="1">
      <alignment horizontal="left" vertical="top" wrapText="1" indent="1"/>
    </xf>
    <xf numFmtId="0" fontId="10" fillId="0" borderId="3" xfId="0" applyFont="1" applyBorder="1" applyAlignment="1">
      <alignment horizontal="left" vertical="center" wrapText="1"/>
    </xf>
    <xf numFmtId="0" fontId="10" fillId="0" borderId="12" xfId="0" applyFont="1" applyBorder="1" applyAlignment="1">
      <alignment horizontal="left" vertical="top"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0" fillId="0" borderId="12" xfId="0" applyFont="1" applyBorder="1" applyAlignment="1">
      <alignment horizontal="left" vertical="top" wrapText="1" indent="1"/>
    </xf>
    <xf numFmtId="0" fontId="10" fillId="0" borderId="12" xfId="0" applyFont="1" applyBorder="1" applyAlignment="1">
      <alignment horizontal="left" vertical="top" wrapText="1" indent="2"/>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right" vertical="top" wrapText="1" indent="15"/>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0" fontId="10" fillId="0" borderId="11" xfId="0" applyFont="1" applyBorder="1" applyAlignment="1">
      <alignment horizontal="left" vertical="center" wrapText="1" indent="2"/>
    </xf>
    <xf numFmtId="0" fontId="10" fillId="0" borderId="12" xfId="0" applyFont="1" applyBorder="1" applyAlignment="1">
      <alignment horizontal="left" vertical="center" wrapText="1" indent="2"/>
    </xf>
    <xf numFmtId="0" fontId="10" fillId="0" borderId="13" xfId="0" applyFont="1" applyBorder="1" applyAlignment="1">
      <alignment horizontal="left" vertical="center" wrapText="1" indent="2"/>
    </xf>
    <xf numFmtId="0" fontId="10" fillId="0" borderId="11" xfId="0" applyFont="1" applyBorder="1" applyAlignment="1">
      <alignment horizontal="left" vertical="center" wrapText="1" indent="5"/>
    </xf>
    <xf numFmtId="0" fontId="10" fillId="0" borderId="12" xfId="0" applyFont="1" applyBorder="1" applyAlignment="1">
      <alignment horizontal="left" vertical="center" wrapText="1" indent="5"/>
    </xf>
    <xf numFmtId="0" fontId="10" fillId="0" borderId="13" xfId="0" applyFont="1" applyBorder="1" applyAlignment="1">
      <alignment horizontal="left" vertical="center" wrapText="1" indent="5"/>
    </xf>
    <xf numFmtId="0" fontId="12" fillId="0" borderId="11" xfId="0" applyFont="1" applyBorder="1" applyAlignment="1">
      <alignment horizontal="center" vertical="top" wrapText="1"/>
    </xf>
    <xf numFmtId="0" fontId="12" fillId="0" borderId="13" xfId="0" applyFont="1" applyBorder="1" applyAlignment="1">
      <alignment horizontal="center" vertical="top" wrapText="1"/>
    </xf>
    <xf numFmtId="0" fontId="10" fillId="0" borderId="11" xfId="0" applyFont="1" applyBorder="1" applyAlignment="1">
      <alignment horizontal="center" vertical="center" wrapText="1"/>
    </xf>
    <xf numFmtId="0" fontId="10" fillId="0" borderId="13" xfId="0" applyFont="1" applyBorder="1" applyAlignment="1">
      <alignment horizontal="center" vertical="center" wrapText="1"/>
    </xf>
    <xf numFmtId="0" fontId="1" fillId="0" borderId="0" xfId="0" applyFont="1" applyAlignment="1">
      <alignment horizontal="center" vertical="top" wrapText="1"/>
    </xf>
    <xf numFmtId="0" fontId="3" fillId="0" borderId="0" xfId="0" applyFont="1" applyAlignment="1">
      <alignment horizontal="left" vertical="top" wrapText="1" indent="30"/>
    </xf>
    <xf numFmtId="0" fontId="3" fillId="0" borderId="0" xfId="0" applyFont="1" applyAlignment="1">
      <alignment horizontal="left" vertical="top" wrapText="1" indent="12"/>
    </xf>
    <xf numFmtId="0" fontId="4" fillId="0" borderId="0" xfId="0" applyFont="1" applyAlignment="1">
      <alignment horizontal="left" vertical="top" wrapText="1" indent="13"/>
    </xf>
    <xf numFmtId="0" fontId="5" fillId="0" borderId="0" xfId="0" applyFont="1" applyAlignment="1">
      <alignment horizontal="center" vertical="top"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1" xfId="0" applyFont="1" applyBorder="1" applyAlignment="1">
      <alignment horizontal="left" vertical="top" wrapText="1" indent="7"/>
    </xf>
    <xf numFmtId="0" fontId="6" fillId="0" borderId="12" xfId="0" applyFont="1" applyBorder="1" applyAlignment="1">
      <alignment horizontal="left" vertical="top" wrapText="1" indent="7"/>
    </xf>
    <xf numFmtId="0" fontId="6" fillId="0" borderId="13" xfId="0" applyFont="1" applyBorder="1" applyAlignment="1">
      <alignment horizontal="left" vertical="top" wrapText="1" indent="7"/>
    </xf>
    <xf numFmtId="0" fontId="6" fillId="0" borderId="11" xfId="0" applyFont="1" applyBorder="1" applyAlignment="1">
      <alignment horizontal="left" vertical="top" wrapText="1" indent="2"/>
    </xf>
    <xf numFmtId="0" fontId="6" fillId="0" borderId="13" xfId="0" applyFont="1" applyBorder="1" applyAlignment="1">
      <alignment horizontal="left" vertical="top" wrapText="1" indent="2"/>
    </xf>
    <xf numFmtId="0" fontId="2" fillId="0" borderId="0" xfId="0" applyFont="1" applyBorder="1" applyAlignment="1">
      <alignment horizontal="center" vertical="top" wrapText="1"/>
    </xf>
  </cellXfs>
  <cellStyles count="1">
    <cellStyle name="Normal" xfId="0" builtinId="0"/>
  </cellStyles>
  <dxfs count="22">
    <dxf>
      <font>
        <b val="0"/>
        <i val="0"/>
        <strike val="0"/>
        <condense val="0"/>
        <extend val="0"/>
        <outline val="0"/>
        <shadow val="0"/>
        <u val="none"/>
        <vertAlign val="baseline"/>
        <sz val="13"/>
        <color rgb="FF000000"/>
        <name val="Times New Roman"/>
        <scheme val="none"/>
      </font>
      <fill>
        <patternFill>
          <bgColor theme="0"/>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strike val="0"/>
        <outline val="0"/>
        <shadow val="0"/>
        <u val="none"/>
        <vertAlign val="baseline"/>
        <sz val="14"/>
        <name val="Times New Roman"/>
        <scheme val="none"/>
      </font>
      <fill>
        <patternFill>
          <bgColor theme="0"/>
        </patternFill>
      </fill>
      <alignment horizontal="center" vertical="center" textRotation="0" wrapText="1" indent="0" justifyLastLine="0" shrinkToFit="0" readingOrder="0"/>
      <border diagonalUp="0" diagonalDown="0" outline="0">
        <left/>
        <right/>
        <top style="thin">
          <color rgb="FF000000"/>
        </top>
        <bottom style="thin">
          <color rgb="FF000000"/>
        </bottom>
      </border>
    </dxf>
    <dxf>
      <font>
        <b val="0"/>
        <i val="0"/>
        <strike val="0"/>
        <condense val="0"/>
        <extend val="0"/>
        <outline val="0"/>
        <shadow val="0"/>
        <u val="none"/>
        <vertAlign val="baseline"/>
        <sz val="13"/>
        <color auto="1"/>
        <name val="Times New Roman"/>
        <scheme val="none"/>
      </font>
      <numFmt numFmtId="3" formatCode="#,##0"/>
      <fill>
        <patternFill>
          <bgColor theme="0"/>
        </patternFill>
      </fill>
      <alignment horizontal="right"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3"/>
        <color auto="1"/>
        <name val="Times New Roman"/>
        <scheme val="none"/>
      </font>
      <numFmt numFmtId="3" formatCode="#,##0"/>
      <fill>
        <patternFill>
          <bgColor theme="0"/>
        </patternFill>
      </fill>
      <alignment horizontal="right"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3"/>
        <color auto="1"/>
        <name val="Times New Roman"/>
        <scheme val="none"/>
      </font>
      <numFmt numFmtId="4" formatCode="#,##0.00"/>
      <fill>
        <patternFill>
          <bgColor theme="0"/>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4"/>
        <color rgb="FF000000"/>
        <name val="Times New Roman"/>
        <scheme val="none"/>
      </font>
      <numFmt numFmtId="1" formatCode="0"/>
      <fill>
        <patternFill>
          <bgColor theme="0"/>
        </patternFill>
      </fill>
      <alignment horizontal="right" vertical="top" textRotation="0" wrapText="0" indent="0" justifyLastLine="0" shrinkToFit="1"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3"/>
        <color auto="1"/>
        <name val="Times New Roman"/>
        <scheme val="none"/>
      </font>
      <numFmt numFmtId="4" formatCode="#,##0.00"/>
      <fill>
        <patternFill>
          <bgColor theme="0"/>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4"/>
        <color auto="1"/>
        <name val="Times New Roman"/>
        <scheme val="none"/>
      </font>
      <fill>
        <patternFill>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3"/>
        <color auto="1"/>
        <name val="Times New Roman"/>
        <scheme val="none"/>
      </font>
      <fill>
        <patternFill>
          <bgColor theme="0"/>
        </patternFill>
      </fill>
      <alignment horizontal="center" vertical="center" textRotation="0" wrapText="1" indent="0" justifyLastLine="0" shrinkToFit="0" readingOrder="0"/>
      <border diagonalUp="0" diagonalDown="0" outline="0">
        <left style="thin">
          <color rgb="FF000000"/>
        </left>
        <right/>
        <top style="thin">
          <color rgb="FF000000"/>
        </top>
        <bottom/>
      </border>
    </dxf>
    <dxf>
      <font>
        <b val="0"/>
        <i val="0"/>
        <strike val="0"/>
        <condense val="0"/>
        <extend val="0"/>
        <outline val="0"/>
        <shadow val="0"/>
        <u val="none"/>
        <vertAlign val="baseline"/>
        <sz val="14"/>
        <color auto="1"/>
        <name val="Times New Roman"/>
        <scheme val="none"/>
      </font>
      <fill>
        <patternFill>
          <bgColor theme="0"/>
        </patternFill>
      </fill>
      <alignment horizontal="center"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3"/>
        <color auto="1"/>
        <name val="Times New Roman"/>
        <scheme val="none"/>
      </font>
      <fill>
        <patternFill>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4"/>
        <color auto="1"/>
        <name val="Times New Roman"/>
        <scheme val="none"/>
      </font>
      <fill>
        <patternFill>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3"/>
        <color auto="1"/>
        <name val="Times New Roman"/>
        <scheme val="none"/>
      </font>
      <fill>
        <patternFill>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14"/>
        <color auto="1"/>
        <name val="Times New Roman"/>
        <scheme val="none"/>
      </font>
      <fill>
        <patternFill>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3"/>
        <color rgb="FF000000"/>
        <name val="Times New Roman"/>
        <scheme val="none"/>
      </font>
      <numFmt numFmtId="1" formatCode="0"/>
      <fill>
        <patternFill>
          <bgColor theme="0"/>
        </patternFill>
      </fill>
      <alignment horizontal="center" vertical="center" textRotation="0" wrapText="1" indent="0" justifyLastLine="0" shrinkToFit="1" readingOrder="0"/>
      <border diagonalUp="0" diagonalDown="0" outline="0">
        <left/>
        <right style="thin">
          <color rgb="FF000000"/>
        </right>
        <top style="thin">
          <color rgb="FF000000"/>
        </top>
        <bottom/>
      </border>
    </dxf>
    <dxf>
      <font>
        <b val="0"/>
        <i val="0"/>
        <strike val="0"/>
        <condense val="0"/>
        <extend val="0"/>
        <outline val="0"/>
        <shadow val="0"/>
        <u val="none"/>
        <vertAlign val="baseline"/>
        <sz val="14"/>
        <color rgb="FF000000"/>
        <name val="Times New Roman"/>
        <scheme val="none"/>
      </font>
      <numFmt numFmtId="1" formatCode="0"/>
      <fill>
        <patternFill>
          <bgColor theme="0"/>
        </patternFill>
      </fill>
      <alignment horizontal="center" vertical="center" textRotation="0" wrapText="0" indent="0" justifyLastLine="0" shrinkToFit="1" readingOrder="0"/>
      <border diagonalUp="0" diagonalDown="0" outline="0">
        <left/>
        <right style="thin">
          <color rgb="FF000000"/>
        </right>
        <top style="thin">
          <color rgb="FF000000"/>
        </top>
        <bottom style="thin">
          <color rgb="FF000000"/>
        </bottom>
      </border>
    </dxf>
    <dxf>
      <border outline="0">
        <top style="thin">
          <color rgb="FF000000"/>
        </top>
      </border>
    </dxf>
    <dxf>
      <font>
        <strike val="0"/>
        <outline val="0"/>
        <shadow val="0"/>
        <u val="none"/>
        <vertAlign val="baseline"/>
        <sz val="14"/>
        <name val="Times New Roman"/>
        <scheme val="none"/>
      </font>
    </dxf>
    <dxf>
      <border outline="0">
        <left style="thin">
          <color rgb="FF000000"/>
        </left>
        <right style="thin">
          <color rgb="FF000000"/>
        </right>
        <top style="thin">
          <color rgb="FF000000"/>
        </top>
        <bottom style="thin">
          <color rgb="FF000000"/>
        </bottom>
      </border>
    </dxf>
    <dxf>
      <font>
        <strike val="0"/>
        <outline val="0"/>
        <shadow val="0"/>
        <u val="none"/>
        <vertAlign val="baseline"/>
        <sz val="14"/>
        <name val="Times New Roman"/>
        <scheme val="none"/>
      </font>
      <alignment horizontal="center" textRotation="0" indent="0" justifyLastLine="0" readingOrder="0"/>
    </dxf>
    <dxf>
      <border outline="0">
        <bottom style="thin">
          <color rgb="FF000000"/>
        </bottom>
      </border>
    </dxf>
    <dxf>
      <font>
        <strike val="0"/>
        <outline val="0"/>
        <shadow val="0"/>
        <u val="none"/>
        <vertAlign val="baseline"/>
        <sz val="14"/>
        <name val="Times New Roman"/>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absoluteAnchor>
    <xdr:pos x="7629525" y="42523"/>
    <xdr:ext cx="1651000" cy="2133600"/>
    <mc:AlternateContent xmlns:mc="http://schemas.openxmlformats.org/markup-compatibility/2006">
      <mc:Choice xmlns:sle15="http://schemas.microsoft.com/office/drawing/2012/slicer" Requires="sle15">
        <xdr:graphicFrame macro="">
          <xdr:nvGraphicFramePr>
            <xdr:cNvPr id="2" name="Tên thôn">
              <a:extLst>
                <a:ext uri="{FF2B5EF4-FFF2-40B4-BE49-F238E27FC236}">
                  <a16:creationId xmlns:a16="http://schemas.microsoft.com/office/drawing/2014/main" id="{BC86DD1E-0DB7-FB0C-69DD-5933DAF0A999}"/>
                </a:ext>
              </a:extLst>
            </xdr:cNvPr>
            <xdr:cNvGraphicFramePr/>
          </xdr:nvGraphicFramePr>
          <xdr:xfrm>
            <a:off x="0" y="0"/>
            <a:ext cx="0" cy="0"/>
          </xdr:xfrm>
          <a:graphic>
            <a:graphicData uri="http://schemas.microsoft.com/office/drawing/2010/slicer">
              <sle:slicer xmlns:sle="http://schemas.microsoft.com/office/drawing/2010/slicer" name="Tên thôn"/>
            </a:graphicData>
          </a:graphic>
        </xdr:graphicFrame>
      </mc:Choice>
      <mc:Fallback>
        <xdr:sp macro="" textlink="">
          <xdr:nvSpPr>
            <xdr:cNvPr id="0" name=""/>
            <xdr:cNvSpPr>
              <a:spLocks noTextEdit="1"/>
            </xdr:cNvSpPr>
          </xdr:nvSpPr>
          <xdr:spPr>
            <a:xfrm>
              <a:off x="7629525" y="42523"/>
              <a:ext cx="1651000" cy="2133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absolute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Tên_thôn" sourceName="Tên thôn">
  <extLst>
    <x:ext xmlns:x15="http://schemas.microsoft.com/office/spreadsheetml/2010/11/main" uri="{2F2917AC-EB37-4324-AD4E-5DD8C200BD13}">
      <x15:tableSlicerCache tableId="1" column="18"/>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Tên thôn" cache="Slicer_Tên_thôn" caption="Tên thôn" startItem="6" rowHeight="198966"/>
</slicers>
</file>

<file path=xl/tables/table1.xml><?xml version="1.0" encoding="utf-8"?>
<table xmlns="http://schemas.openxmlformats.org/spreadsheetml/2006/main" id="1" name="Table1" displayName="Table1" ref="A5:H157" totalsRowCount="1" headerRowDxfId="21" dataDxfId="19" totalsRowDxfId="17" headerRowBorderDxfId="20" tableBorderDxfId="18" totalsRowBorderDxfId="16">
  <autoFilter ref="A5:H156"/>
  <tableColumns count="8">
    <tableColumn id="1" name="STT" dataDxfId="15" totalsRowDxfId="14"/>
    <tableColumn id="2" name="Họ và tên" totalsRowLabel="TỔNG CỘNG" dataDxfId="13" totalsRowDxfId="12"/>
    <tableColumn id="18" name="Tên thôn" dataDxfId="11" totalsRowDxfId="10"/>
    <tableColumn id="23" name="số lượng" totalsRowFunction="sum" dataDxfId="9" totalsRowDxfId="8"/>
    <tableColumn id="22" name="Trọng lượng" totalsRowFunction="sum" dataDxfId="7" totalsRowDxfId="6"/>
    <tableColumn id="24" name="Định mức" dataDxfId="5" totalsRowDxfId="4"/>
    <tableColumn id="21" name="Kinh phí" totalsRowFunction="sum" dataDxfId="3" totalsRowDxfId="2">
      <calculatedColumnFormula>Table1[[#This Row],[Trọng lượng]]*Table1[[#This Row],[Định mức]]</calculatedColumnFormula>
    </tableColumn>
    <tableColumn id="19" name="Ký nhận" dataDxfId="1" totalsRow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
  <sheetViews>
    <sheetView topLeftCell="A19" workbookViewId="0">
      <selection activeCell="AB31" sqref="AB31"/>
    </sheetView>
  </sheetViews>
  <sheetFormatPr defaultRowHeight="12.75" x14ac:dyDescent="0.2"/>
  <cols>
    <col min="1" max="1" width="3.33203125" customWidth="1"/>
    <col min="2" max="2" width="8.1640625" customWidth="1"/>
    <col min="3" max="3" width="4.5" customWidth="1"/>
    <col min="4" max="4" width="5.6640625" customWidth="1"/>
    <col min="5" max="5" width="6.6640625" customWidth="1"/>
    <col min="6" max="6" width="6" customWidth="1"/>
    <col min="7" max="7" width="6.6640625" customWidth="1"/>
    <col min="8" max="8" width="7.1640625" customWidth="1"/>
    <col min="9" max="9" width="6.6640625" customWidth="1"/>
    <col min="10" max="10" width="5.33203125" customWidth="1"/>
    <col min="11" max="11" width="4" customWidth="1"/>
    <col min="12" max="12" width="5.6640625" customWidth="1"/>
    <col min="13" max="13" width="6.6640625" customWidth="1"/>
    <col min="14" max="14" width="4.5" customWidth="1"/>
    <col min="15" max="15" width="6.1640625" customWidth="1"/>
    <col min="16" max="16" width="6.5" customWidth="1"/>
    <col min="17" max="17" width="6.1640625" customWidth="1"/>
    <col min="18" max="18" width="6" customWidth="1"/>
    <col min="19" max="19" width="4.6640625" customWidth="1"/>
    <col min="20" max="20" width="5.83203125" customWidth="1"/>
    <col min="21" max="21" width="5.6640625" customWidth="1"/>
    <col min="22" max="22" width="6" customWidth="1"/>
    <col min="23" max="24" width="7.6640625" customWidth="1"/>
    <col min="25" max="25" width="7.83203125" customWidth="1"/>
    <col min="26" max="26" width="7" customWidth="1"/>
    <col min="27" max="27" width="10" customWidth="1"/>
    <col min="28" max="28" width="8.1640625" customWidth="1"/>
    <col min="29" max="29" width="13" customWidth="1"/>
    <col min="30" max="30" width="13.1640625" customWidth="1"/>
    <col min="31" max="31" width="7" customWidth="1"/>
    <col min="32" max="32" width="13.5" customWidth="1"/>
  </cols>
  <sheetData>
    <row r="1" spans="1:32" ht="15.75" customHeight="1" x14ac:dyDescent="0.2">
      <c r="A1" s="94" t="s">
        <v>30</v>
      </c>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row>
    <row r="2" spans="1:32" ht="15" customHeight="1" x14ac:dyDescent="0.2">
      <c r="A2" s="94" t="s">
        <v>31</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row>
    <row r="3" spans="1:32" ht="15.75" customHeight="1" x14ac:dyDescent="0.2">
      <c r="A3" s="95" t="s">
        <v>32</v>
      </c>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row>
    <row r="4" spans="1:32" ht="14.25" customHeight="1" x14ac:dyDescent="0.2">
      <c r="A4" s="96" t="s">
        <v>33</v>
      </c>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row>
    <row r="5" spans="1:32" ht="15" customHeight="1" x14ac:dyDescent="0.2">
      <c r="A5" s="77" t="s">
        <v>34</v>
      </c>
      <c r="B5" s="77" t="s">
        <v>35</v>
      </c>
      <c r="C5" s="97"/>
      <c r="D5" s="98"/>
      <c r="E5" s="98"/>
      <c r="F5" s="98"/>
      <c r="G5" s="98"/>
      <c r="H5" s="98"/>
      <c r="I5" s="99"/>
      <c r="J5" s="103" t="s">
        <v>36</v>
      </c>
      <c r="K5" s="104"/>
      <c r="L5" s="104"/>
      <c r="M5" s="104"/>
      <c r="N5" s="104"/>
      <c r="O5" s="104"/>
      <c r="P5" s="104"/>
      <c r="Q5" s="104"/>
      <c r="R5" s="104"/>
      <c r="S5" s="104"/>
      <c r="T5" s="104"/>
      <c r="U5" s="104"/>
      <c r="V5" s="104"/>
      <c r="W5" s="104"/>
      <c r="X5" s="104"/>
      <c r="Y5" s="105"/>
      <c r="Z5" s="103" t="s">
        <v>36</v>
      </c>
      <c r="AA5" s="104"/>
      <c r="AB5" s="104"/>
      <c r="AC5" s="105"/>
      <c r="AD5" s="91" t="s">
        <v>37</v>
      </c>
      <c r="AE5" s="69" t="s">
        <v>36</v>
      </c>
      <c r="AF5" s="70"/>
    </row>
    <row r="6" spans="1:32" ht="123" customHeight="1" x14ac:dyDescent="0.2">
      <c r="A6" s="81"/>
      <c r="B6" s="81"/>
      <c r="C6" s="100"/>
      <c r="D6" s="101"/>
      <c r="E6" s="101"/>
      <c r="F6" s="101"/>
      <c r="G6" s="101"/>
      <c r="H6" s="101"/>
      <c r="I6" s="102"/>
      <c r="J6" s="106" t="s">
        <v>38</v>
      </c>
      <c r="K6" s="107"/>
      <c r="L6" s="107"/>
      <c r="M6" s="107"/>
      <c r="N6" s="107"/>
      <c r="O6" s="107"/>
      <c r="P6" s="107"/>
      <c r="Q6" s="108"/>
      <c r="R6" s="109" t="s">
        <v>39</v>
      </c>
      <c r="S6" s="110"/>
      <c r="T6" s="110"/>
      <c r="U6" s="110"/>
      <c r="V6" s="110"/>
      <c r="W6" s="110"/>
      <c r="X6" s="110"/>
      <c r="Y6" s="111"/>
      <c r="Z6" s="112" t="s">
        <v>78</v>
      </c>
      <c r="AA6" s="113"/>
      <c r="AB6" s="114" t="s">
        <v>40</v>
      </c>
      <c r="AC6" s="115"/>
      <c r="AD6" s="92"/>
      <c r="AE6" s="83" t="s">
        <v>79</v>
      </c>
      <c r="AF6" s="77" t="s">
        <v>41</v>
      </c>
    </row>
    <row r="7" spans="1:32" ht="27.75" customHeight="1" x14ac:dyDescent="0.2">
      <c r="A7" s="81"/>
      <c r="B7" s="81"/>
      <c r="C7" s="77" t="s">
        <v>42</v>
      </c>
      <c r="D7" s="75" t="s">
        <v>43</v>
      </c>
      <c r="E7" s="82"/>
      <c r="F7" s="76"/>
      <c r="G7" s="75" t="s">
        <v>44</v>
      </c>
      <c r="H7" s="82"/>
      <c r="I7" s="76"/>
      <c r="J7" s="83" t="s">
        <v>80</v>
      </c>
      <c r="K7" s="77" t="s">
        <v>42</v>
      </c>
      <c r="L7" s="79" t="s">
        <v>45</v>
      </c>
      <c r="M7" s="86"/>
      <c r="N7" s="80"/>
      <c r="O7" s="75" t="s">
        <v>46</v>
      </c>
      <c r="P7" s="82"/>
      <c r="Q7" s="76"/>
      <c r="R7" s="83" t="s">
        <v>80</v>
      </c>
      <c r="S7" s="77" t="s">
        <v>42</v>
      </c>
      <c r="T7" s="75" t="s">
        <v>43</v>
      </c>
      <c r="U7" s="82"/>
      <c r="V7" s="76"/>
      <c r="W7" s="71" t="s">
        <v>44</v>
      </c>
      <c r="X7" s="87"/>
      <c r="Y7" s="72"/>
      <c r="Z7" s="88" t="s">
        <v>81</v>
      </c>
      <c r="AA7" s="91" t="s">
        <v>47</v>
      </c>
      <c r="AB7" s="91" t="s">
        <v>48</v>
      </c>
      <c r="AC7" s="91" t="s">
        <v>47</v>
      </c>
      <c r="AD7" s="92"/>
      <c r="AE7" s="84"/>
      <c r="AF7" s="81"/>
    </row>
    <row r="8" spans="1:32" ht="15.75" customHeight="1" x14ac:dyDescent="0.2">
      <c r="A8" s="81"/>
      <c r="B8" s="81"/>
      <c r="C8" s="81"/>
      <c r="D8" s="77" t="s">
        <v>49</v>
      </c>
      <c r="E8" s="75" t="s">
        <v>50</v>
      </c>
      <c r="F8" s="76"/>
      <c r="G8" s="77" t="s">
        <v>49</v>
      </c>
      <c r="H8" s="71" t="s">
        <v>50</v>
      </c>
      <c r="I8" s="72"/>
      <c r="J8" s="84"/>
      <c r="K8" s="81"/>
      <c r="L8" s="77" t="s">
        <v>49</v>
      </c>
      <c r="M8" s="75" t="s">
        <v>50</v>
      </c>
      <c r="N8" s="76"/>
      <c r="O8" s="77" t="s">
        <v>49</v>
      </c>
      <c r="P8" s="79" t="s">
        <v>50</v>
      </c>
      <c r="Q8" s="80"/>
      <c r="R8" s="84"/>
      <c r="S8" s="81"/>
      <c r="T8" s="77" t="s">
        <v>49</v>
      </c>
      <c r="U8" s="79" t="s">
        <v>50</v>
      </c>
      <c r="V8" s="80"/>
      <c r="W8" s="67" t="s">
        <v>49</v>
      </c>
      <c r="X8" s="69" t="s">
        <v>50</v>
      </c>
      <c r="Y8" s="70"/>
      <c r="Z8" s="89"/>
      <c r="AA8" s="92"/>
      <c r="AB8" s="92"/>
      <c r="AC8" s="92"/>
      <c r="AD8" s="92"/>
      <c r="AE8" s="84"/>
      <c r="AF8" s="81"/>
    </row>
    <row r="9" spans="1:32" ht="85.5" customHeight="1" x14ac:dyDescent="0.2">
      <c r="A9" s="78"/>
      <c r="B9" s="78"/>
      <c r="C9" s="78"/>
      <c r="D9" s="78"/>
      <c r="E9" s="20" t="s">
        <v>51</v>
      </c>
      <c r="F9" s="20" t="s">
        <v>52</v>
      </c>
      <c r="G9" s="78"/>
      <c r="H9" s="20" t="s">
        <v>53</v>
      </c>
      <c r="I9" s="20" t="s">
        <v>54</v>
      </c>
      <c r="J9" s="85"/>
      <c r="K9" s="78"/>
      <c r="L9" s="78"/>
      <c r="M9" s="21" t="s">
        <v>55</v>
      </c>
      <c r="N9" s="21" t="s">
        <v>52</v>
      </c>
      <c r="O9" s="78"/>
      <c r="P9" s="20" t="s">
        <v>53</v>
      </c>
      <c r="Q9" s="20" t="s">
        <v>54</v>
      </c>
      <c r="R9" s="85"/>
      <c r="S9" s="78"/>
      <c r="T9" s="78"/>
      <c r="U9" s="21" t="s">
        <v>55</v>
      </c>
      <c r="V9" s="20" t="s">
        <v>52</v>
      </c>
      <c r="W9" s="68"/>
      <c r="X9" s="20" t="s">
        <v>53</v>
      </c>
      <c r="Y9" s="22" t="s">
        <v>54</v>
      </c>
      <c r="Z9" s="90"/>
      <c r="AA9" s="93"/>
      <c r="AB9" s="93"/>
      <c r="AC9" s="93"/>
      <c r="AD9" s="93"/>
      <c r="AE9" s="85"/>
      <c r="AF9" s="78"/>
    </row>
    <row r="10" spans="1:32" ht="13.5" customHeight="1" x14ac:dyDescent="0.2">
      <c r="A10" s="71" t="s">
        <v>56</v>
      </c>
      <c r="B10" s="72"/>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row>
    <row r="11" spans="1:32" ht="24" customHeight="1" x14ac:dyDescent="0.2">
      <c r="A11" s="25">
        <v>1</v>
      </c>
      <c r="B11" s="26" t="s">
        <v>57</v>
      </c>
      <c r="C11" s="27">
        <v>5</v>
      </c>
      <c r="D11" s="27">
        <v>48</v>
      </c>
      <c r="E11" s="27">
        <v>3</v>
      </c>
      <c r="F11" s="27">
        <v>45</v>
      </c>
      <c r="G11" s="27">
        <v>2454</v>
      </c>
      <c r="H11" s="27">
        <v>357</v>
      </c>
      <c r="I11" s="27">
        <v>2097</v>
      </c>
      <c r="J11" s="27"/>
      <c r="K11" s="27"/>
      <c r="L11" s="27">
        <v>9</v>
      </c>
      <c r="M11" s="27"/>
      <c r="N11" s="27">
        <v>9</v>
      </c>
      <c r="O11" s="27">
        <v>585</v>
      </c>
      <c r="P11" s="27"/>
      <c r="Q11" s="27">
        <v>585</v>
      </c>
      <c r="R11" s="27"/>
      <c r="S11" s="27">
        <v>4</v>
      </c>
      <c r="T11" s="27">
        <v>39</v>
      </c>
      <c r="U11" s="27">
        <v>3</v>
      </c>
      <c r="V11" s="27">
        <v>36</v>
      </c>
      <c r="W11" s="27">
        <v>1869</v>
      </c>
      <c r="X11" s="27">
        <v>357</v>
      </c>
      <c r="Y11" s="27">
        <v>1512</v>
      </c>
      <c r="Z11" s="27">
        <v>38000</v>
      </c>
      <c r="AA11" s="27">
        <v>22230000</v>
      </c>
      <c r="AB11" s="27">
        <v>40000</v>
      </c>
      <c r="AC11" s="27">
        <v>74760000</v>
      </c>
      <c r="AD11" s="27">
        <v>96990000</v>
      </c>
      <c r="AE11" s="27">
        <v>0</v>
      </c>
      <c r="AF11" s="27">
        <v>96990000</v>
      </c>
    </row>
    <row r="12" spans="1:32" ht="17.25" customHeight="1" x14ac:dyDescent="0.2">
      <c r="A12" s="25">
        <v>2</v>
      </c>
      <c r="B12" s="28" t="s">
        <v>58</v>
      </c>
      <c r="C12" s="29">
        <v>11</v>
      </c>
      <c r="D12" s="27">
        <v>235</v>
      </c>
      <c r="E12" s="27">
        <v>17</v>
      </c>
      <c r="F12" s="27">
        <v>218</v>
      </c>
      <c r="G12" s="27">
        <v>15181</v>
      </c>
      <c r="H12" s="27">
        <v>2634</v>
      </c>
      <c r="I12" s="27">
        <v>12547</v>
      </c>
      <c r="J12" s="27"/>
      <c r="K12" s="27"/>
      <c r="L12" s="27"/>
      <c r="M12" s="27"/>
      <c r="N12" s="27"/>
      <c r="O12" s="27"/>
      <c r="P12" s="27"/>
      <c r="Q12" s="27"/>
      <c r="R12" s="27"/>
      <c r="S12" s="27">
        <v>11</v>
      </c>
      <c r="T12" s="27">
        <v>235</v>
      </c>
      <c r="U12" s="27">
        <v>17</v>
      </c>
      <c r="V12" s="27">
        <v>218</v>
      </c>
      <c r="W12" s="27">
        <v>15181</v>
      </c>
      <c r="X12" s="27">
        <v>2634</v>
      </c>
      <c r="Y12" s="27">
        <v>12547</v>
      </c>
      <c r="Z12" s="27"/>
      <c r="AA12" s="27"/>
      <c r="AB12" s="27">
        <v>40000</v>
      </c>
      <c r="AC12" s="27">
        <v>607240000</v>
      </c>
      <c r="AD12" s="27">
        <v>607240000</v>
      </c>
      <c r="AE12" s="27">
        <v>0</v>
      </c>
      <c r="AF12" s="27">
        <v>607240000</v>
      </c>
    </row>
    <row r="13" spans="1:32" ht="17.25" customHeight="1" x14ac:dyDescent="0.2">
      <c r="A13" s="25">
        <v>3</v>
      </c>
      <c r="B13" s="28" t="s">
        <v>59</v>
      </c>
      <c r="C13" s="29">
        <v>7</v>
      </c>
      <c r="D13" s="27">
        <v>124</v>
      </c>
      <c r="E13" s="27">
        <v>8</v>
      </c>
      <c r="F13" s="27">
        <v>116</v>
      </c>
      <c r="G13" s="27">
        <v>7293</v>
      </c>
      <c r="H13" s="27">
        <v>1054</v>
      </c>
      <c r="I13" s="27">
        <v>6239</v>
      </c>
      <c r="J13" s="27"/>
      <c r="K13" s="27"/>
      <c r="L13" s="27"/>
      <c r="M13" s="27"/>
      <c r="N13" s="27"/>
      <c r="O13" s="27"/>
      <c r="P13" s="27"/>
      <c r="Q13" s="27"/>
      <c r="R13" s="27"/>
      <c r="S13" s="27">
        <v>7</v>
      </c>
      <c r="T13" s="27">
        <v>124</v>
      </c>
      <c r="U13" s="27">
        <v>8</v>
      </c>
      <c r="V13" s="27">
        <v>116</v>
      </c>
      <c r="W13" s="27">
        <v>7293</v>
      </c>
      <c r="X13" s="27">
        <v>1054</v>
      </c>
      <c r="Y13" s="27">
        <v>6239</v>
      </c>
      <c r="Z13" s="27"/>
      <c r="AA13" s="27"/>
      <c r="AB13" s="27">
        <v>40000</v>
      </c>
      <c r="AC13" s="27">
        <v>291720000</v>
      </c>
      <c r="AD13" s="27">
        <v>291720000</v>
      </c>
      <c r="AE13" s="27">
        <v>0</v>
      </c>
      <c r="AF13" s="27">
        <v>291720000</v>
      </c>
    </row>
    <row r="14" spans="1:32" ht="27" customHeight="1" x14ac:dyDescent="0.2">
      <c r="A14" s="25">
        <v>4</v>
      </c>
      <c r="B14" s="28" t="s">
        <v>60</v>
      </c>
      <c r="C14" s="29">
        <v>3</v>
      </c>
      <c r="D14" s="27">
        <v>40</v>
      </c>
      <c r="E14" s="27">
        <v>1</v>
      </c>
      <c r="F14" s="27">
        <v>39</v>
      </c>
      <c r="G14" s="27">
        <v>1148</v>
      </c>
      <c r="H14" s="27">
        <v>196</v>
      </c>
      <c r="I14" s="27">
        <v>952</v>
      </c>
      <c r="J14" s="27"/>
      <c r="K14" s="27"/>
      <c r="L14" s="27"/>
      <c r="M14" s="27"/>
      <c r="N14" s="27"/>
      <c r="O14" s="27"/>
      <c r="P14" s="27"/>
      <c r="Q14" s="27"/>
      <c r="R14" s="27"/>
      <c r="S14" s="27">
        <v>3</v>
      </c>
      <c r="T14" s="27">
        <v>40</v>
      </c>
      <c r="U14" s="27">
        <v>1</v>
      </c>
      <c r="V14" s="27">
        <v>39</v>
      </c>
      <c r="W14" s="27">
        <v>1147.5</v>
      </c>
      <c r="X14" s="27">
        <v>196</v>
      </c>
      <c r="Y14" s="27">
        <v>951.5</v>
      </c>
      <c r="Z14" s="27"/>
      <c r="AA14" s="27"/>
      <c r="AB14" s="27">
        <v>40000</v>
      </c>
      <c r="AC14" s="27">
        <v>45900000</v>
      </c>
      <c r="AD14" s="27">
        <v>45900000</v>
      </c>
      <c r="AE14" s="27">
        <v>0</v>
      </c>
      <c r="AF14" s="27">
        <v>45900000</v>
      </c>
    </row>
    <row r="15" spans="1:32" ht="25.5" customHeight="1" x14ac:dyDescent="0.2">
      <c r="A15" s="25">
        <v>5</v>
      </c>
      <c r="B15" s="28" t="s">
        <v>61</v>
      </c>
      <c r="C15" s="29">
        <v>8</v>
      </c>
      <c r="D15" s="27">
        <v>23</v>
      </c>
      <c r="E15" s="27">
        <v>8</v>
      </c>
      <c r="F15" s="27">
        <v>15</v>
      </c>
      <c r="G15" s="27">
        <v>1714</v>
      </c>
      <c r="H15" s="27">
        <v>776</v>
      </c>
      <c r="I15" s="27">
        <v>938</v>
      </c>
      <c r="J15" s="27"/>
      <c r="K15" s="27"/>
      <c r="L15" s="27"/>
      <c r="M15" s="27"/>
      <c r="N15" s="27"/>
      <c r="O15" s="27"/>
      <c r="P15" s="27"/>
      <c r="Q15" s="27"/>
      <c r="R15" s="27"/>
      <c r="S15" s="27">
        <v>8</v>
      </c>
      <c r="T15" s="27">
        <v>23</v>
      </c>
      <c r="U15" s="27">
        <v>8</v>
      </c>
      <c r="V15" s="27">
        <v>15</v>
      </c>
      <c r="W15" s="27">
        <v>1714</v>
      </c>
      <c r="X15" s="27">
        <v>776</v>
      </c>
      <c r="Y15" s="27">
        <v>938</v>
      </c>
      <c r="Z15" s="27"/>
      <c r="AA15" s="27"/>
      <c r="AB15" s="27">
        <v>40000</v>
      </c>
      <c r="AC15" s="27">
        <v>68560000</v>
      </c>
      <c r="AD15" s="27">
        <v>68560000</v>
      </c>
      <c r="AE15" s="27">
        <v>0</v>
      </c>
      <c r="AF15" s="27">
        <v>68560000</v>
      </c>
    </row>
    <row r="16" spans="1:32" ht="25.5" customHeight="1" x14ac:dyDescent="0.2">
      <c r="A16" s="25">
        <v>6</v>
      </c>
      <c r="B16" s="28" t="s">
        <v>62</v>
      </c>
      <c r="C16" s="29">
        <v>5</v>
      </c>
      <c r="D16" s="27">
        <v>10</v>
      </c>
      <c r="E16" s="27">
        <v>9</v>
      </c>
      <c r="F16" s="27">
        <v>1</v>
      </c>
      <c r="G16" s="27">
        <v>1370</v>
      </c>
      <c r="H16" s="27">
        <v>1292</v>
      </c>
      <c r="I16" s="27">
        <v>78</v>
      </c>
      <c r="J16" s="27"/>
      <c r="K16" s="27"/>
      <c r="L16" s="27"/>
      <c r="M16" s="27"/>
      <c r="N16" s="27"/>
      <c r="O16" s="27"/>
      <c r="P16" s="27"/>
      <c r="Q16" s="27"/>
      <c r="R16" s="27"/>
      <c r="S16" s="27">
        <v>5</v>
      </c>
      <c r="T16" s="27">
        <v>10</v>
      </c>
      <c r="U16" s="27">
        <v>9</v>
      </c>
      <c r="V16" s="27">
        <v>1</v>
      </c>
      <c r="W16" s="27">
        <v>1370</v>
      </c>
      <c r="X16" s="27">
        <v>1292</v>
      </c>
      <c r="Y16" s="27">
        <v>78</v>
      </c>
      <c r="Z16" s="27"/>
      <c r="AA16" s="27"/>
      <c r="AB16" s="27">
        <v>40000</v>
      </c>
      <c r="AC16" s="27">
        <v>54800000</v>
      </c>
      <c r="AD16" s="27">
        <v>54800000</v>
      </c>
      <c r="AE16" s="27">
        <v>0</v>
      </c>
      <c r="AF16" s="27">
        <v>54800000</v>
      </c>
    </row>
    <row r="17" spans="1:32" ht="24" customHeight="1" x14ac:dyDescent="0.2">
      <c r="A17" s="25">
        <v>7</v>
      </c>
      <c r="B17" s="28" t="s">
        <v>63</v>
      </c>
      <c r="C17" s="29">
        <v>4</v>
      </c>
      <c r="D17" s="27">
        <v>25</v>
      </c>
      <c r="E17" s="27">
        <v>10</v>
      </c>
      <c r="F17" s="27">
        <v>15</v>
      </c>
      <c r="G17" s="27">
        <v>2193</v>
      </c>
      <c r="H17" s="27">
        <v>1438</v>
      </c>
      <c r="I17" s="27">
        <v>755</v>
      </c>
      <c r="J17" s="27"/>
      <c r="K17" s="27"/>
      <c r="L17" s="27"/>
      <c r="M17" s="27"/>
      <c r="N17" s="27"/>
      <c r="O17" s="27"/>
      <c r="P17" s="27"/>
      <c r="Q17" s="27"/>
      <c r="R17" s="27"/>
      <c r="S17" s="27">
        <v>4</v>
      </c>
      <c r="T17" s="27">
        <v>25</v>
      </c>
      <c r="U17" s="27">
        <v>10</v>
      </c>
      <c r="V17" s="27">
        <v>15</v>
      </c>
      <c r="W17" s="27">
        <v>2193</v>
      </c>
      <c r="X17" s="27">
        <v>1438</v>
      </c>
      <c r="Y17" s="27">
        <v>755</v>
      </c>
      <c r="Z17" s="27"/>
      <c r="AA17" s="27"/>
      <c r="AB17" s="27">
        <v>40000</v>
      </c>
      <c r="AC17" s="27">
        <v>87720000</v>
      </c>
      <c r="AD17" s="27">
        <v>87720000</v>
      </c>
      <c r="AE17" s="27">
        <v>0</v>
      </c>
      <c r="AF17" s="27">
        <v>87720000</v>
      </c>
    </row>
    <row r="18" spans="1:32" ht="27" customHeight="1" x14ac:dyDescent="0.2">
      <c r="A18" s="25">
        <v>8</v>
      </c>
      <c r="B18" s="28" t="s">
        <v>64</v>
      </c>
      <c r="C18" s="29">
        <v>12</v>
      </c>
      <c r="D18" s="27">
        <v>154</v>
      </c>
      <c r="E18" s="27">
        <v>21</v>
      </c>
      <c r="F18" s="27">
        <v>133</v>
      </c>
      <c r="G18" s="27">
        <v>9675</v>
      </c>
      <c r="H18" s="27">
        <v>3443</v>
      </c>
      <c r="I18" s="27">
        <v>6232</v>
      </c>
      <c r="J18" s="27"/>
      <c r="K18" s="27"/>
      <c r="L18" s="27"/>
      <c r="M18" s="27"/>
      <c r="N18" s="27"/>
      <c r="O18" s="27"/>
      <c r="P18" s="27"/>
      <c r="Q18" s="27"/>
      <c r="R18" s="27"/>
      <c r="S18" s="27">
        <v>12</v>
      </c>
      <c r="T18" s="27">
        <v>154</v>
      </c>
      <c r="U18" s="27">
        <v>21</v>
      </c>
      <c r="V18" s="27">
        <v>133</v>
      </c>
      <c r="W18" s="27">
        <v>9675</v>
      </c>
      <c r="X18" s="27">
        <v>3443</v>
      </c>
      <c r="Y18" s="27">
        <v>6232</v>
      </c>
      <c r="Z18" s="27"/>
      <c r="AA18" s="27"/>
      <c r="AB18" s="27">
        <v>40000</v>
      </c>
      <c r="AC18" s="27">
        <v>387000000</v>
      </c>
      <c r="AD18" s="27">
        <v>387000000</v>
      </c>
      <c r="AE18" s="27">
        <v>0</v>
      </c>
      <c r="AF18" s="27">
        <v>387000000</v>
      </c>
    </row>
    <row r="19" spans="1:32" ht="17.25" customHeight="1" x14ac:dyDescent="0.2">
      <c r="A19" s="25">
        <v>9</v>
      </c>
      <c r="B19" s="28" t="s">
        <v>65</v>
      </c>
      <c r="C19" s="29">
        <v>5</v>
      </c>
      <c r="D19" s="27">
        <v>44</v>
      </c>
      <c r="E19" s="27">
        <v>15</v>
      </c>
      <c r="F19" s="27">
        <v>29</v>
      </c>
      <c r="G19" s="27">
        <v>2928</v>
      </c>
      <c r="H19" s="27">
        <v>1865</v>
      </c>
      <c r="I19" s="27">
        <v>1063</v>
      </c>
      <c r="J19" s="27"/>
      <c r="K19" s="27"/>
      <c r="L19" s="27"/>
      <c r="M19" s="27"/>
      <c r="N19" s="27"/>
      <c r="O19" s="27"/>
      <c r="P19" s="27"/>
      <c r="Q19" s="27"/>
      <c r="R19" s="27"/>
      <c r="S19" s="27">
        <v>5</v>
      </c>
      <c r="T19" s="27">
        <v>44</v>
      </c>
      <c r="U19" s="27">
        <v>15</v>
      </c>
      <c r="V19" s="27">
        <v>29</v>
      </c>
      <c r="W19" s="27">
        <v>2928</v>
      </c>
      <c r="X19" s="27">
        <v>1865</v>
      </c>
      <c r="Y19" s="27">
        <v>1063</v>
      </c>
      <c r="Z19" s="27"/>
      <c r="AA19" s="27"/>
      <c r="AB19" s="27">
        <v>40000</v>
      </c>
      <c r="AC19" s="27">
        <v>117120000</v>
      </c>
      <c r="AD19" s="27">
        <v>117120000</v>
      </c>
      <c r="AE19" s="27">
        <v>0</v>
      </c>
      <c r="AF19" s="27">
        <v>117120000</v>
      </c>
    </row>
    <row r="20" spans="1:32" ht="24.75" customHeight="1" x14ac:dyDescent="0.2">
      <c r="A20" s="25">
        <v>10</v>
      </c>
      <c r="B20" s="28" t="s">
        <v>66</v>
      </c>
      <c r="C20" s="29">
        <v>10</v>
      </c>
      <c r="D20" s="27">
        <v>122</v>
      </c>
      <c r="E20" s="27">
        <v>6</v>
      </c>
      <c r="F20" s="27">
        <v>116</v>
      </c>
      <c r="G20" s="27">
        <v>4888</v>
      </c>
      <c r="H20" s="27">
        <v>899</v>
      </c>
      <c r="I20" s="27">
        <v>3989</v>
      </c>
      <c r="J20" s="27"/>
      <c r="K20" s="27"/>
      <c r="L20" s="27"/>
      <c r="M20" s="27"/>
      <c r="N20" s="27"/>
      <c r="O20" s="27"/>
      <c r="P20" s="27"/>
      <c r="Q20" s="27"/>
      <c r="R20" s="27"/>
      <c r="S20" s="27">
        <v>10</v>
      </c>
      <c r="T20" s="27">
        <v>122</v>
      </c>
      <c r="U20" s="27">
        <v>6</v>
      </c>
      <c r="V20" s="27">
        <v>116</v>
      </c>
      <c r="W20" s="27">
        <v>4888</v>
      </c>
      <c r="X20" s="27">
        <v>899</v>
      </c>
      <c r="Y20" s="27">
        <v>3989</v>
      </c>
      <c r="Z20" s="27"/>
      <c r="AA20" s="27"/>
      <c r="AB20" s="27">
        <v>40000</v>
      </c>
      <c r="AC20" s="27">
        <v>195520000</v>
      </c>
      <c r="AD20" s="27">
        <v>195520000</v>
      </c>
      <c r="AE20" s="27">
        <v>0</v>
      </c>
      <c r="AF20" s="27">
        <v>195520000</v>
      </c>
    </row>
    <row r="21" spans="1:32" ht="26.25" customHeight="1" x14ac:dyDescent="0.2">
      <c r="A21" s="25">
        <v>11</v>
      </c>
      <c r="B21" s="28" t="s">
        <v>67</v>
      </c>
      <c r="C21" s="29">
        <v>1</v>
      </c>
      <c r="D21" s="27">
        <v>1</v>
      </c>
      <c r="E21" s="27">
        <v>1</v>
      </c>
      <c r="F21" s="27">
        <v>0</v>
      </c>
      <c r="G21" s="27">
        <v>143</v>
      </c>
      <c r="H21" s="27">
        <v>143</v>
      </c>
      <c r="I21" s="27">
        <v>0</v>
      </c>
      <c r="J21" s="27"/>
      <c r="K21" s="27"/>
      <c r="L21" s="27"/>
      <c r="M21" s="27"/>
      <c r="N21" s="27"/>
      <c r="O21" s="27"/>
      <c r="P21" s="27"/>
      <c r="Q21" s="27"/>
      <c r="R21" s="27"/>
      <c r="S21" s="27">
        <v>1</v>
      </c>
      <c r="T21" s="27">
        <v>1</v>
      </c>
      <c r="U21" s="27">
        <v>1</v>
      </c>
      <c r="V21" s="27"/>
      <c r="W21" s="27">
        <v>143</v>
      </c>
      <c r="X21" s="27">
        <v>143</v>
      </c>
      <c r="Y21" s="27"/>
      <c r="Z21" s="27"/>
      <c r="AA21" s="27"/>
      <c r="AB21" s="27">
        <v>40000</v>
      </c>
      <c r="AC21" s="27">
        <v>5720000</v>
      </c>
      <c r="AD21" s="27">
        <v>5720000</v>
      </c>
      <c r="AE21" s="27">
        <v>0</v>
      </c>
      <c r="AF21" s="27">
        <v>5720000</v>
      </c>
    </row>
    <row r="22" spans="1:32" ht="27" customHeight="1" x14ac:dyDescent="0.2">
      <c r="A22" s="25">
        <v>12</v>
      </c>
      <c r="B22" s="28" t="s">
        <v>68</v>
      </c>
      <c r="C22" s="29">
        <v>3</v>
      </c>
      <c r="D22" s="27">
        <v>48</v>
      </c>
      <c r="E22" s="27">
        <v>7</v>
      </c>
      <c r="F22" s="27">
        <v>41</v>
      </c>
      <c r="G22" s="27">
        <v>3491</v>
      </c>
      <c r="H22" s="27">
        <v>1006</v>
      </c>
      <c r="I22" s="27">
        <v>2485</v>
      </c>
      <c r="J22" s="27"/>
      <c r="K22" s="27"/>
      <c r="L22" s="27"/>
      <c r="M22" s="27"/>
      <c r="N22" s="27"/>
      <c r="O22" s="27"/>
      <c r="P22" s="27"/>
      <c r="Q22" s="27"/>
      <c r="R22" s="27"/>
      <c r="S22" s="27">
        <v>3</v>
      </c>
      <c r="T22" s="27">
        <v>48</v>
      </c>
      <c r="U22" s="27">
        <v>7</v>
      </c>
      <c r="V22" s="27">
        <v>41</v>
      </c>
      <c r="W22" s="27">
        <v>3491</v>
      </c>
      <c r="X22" s="27">
        <v>1006</v>
      </c>
      <c r="Y22" s="27">
        <v>2485</v>
      </c>
      <c r="Z22" s="27"/>
      <c r="AA22" s="27"/>
      <c r="AB22" s="27">
        <v>40000</v>
      </c>
      <c r="AC22" s="27">
        <v>139640000</v>
      </c>
      <c r="AD22" s="27">
        <v>139640000</v>
      </c>
      <c r="AE22" s="27">
        <v>0</v>
      </c>
      <c r="AF22" s="27">
        <v>139640000</v>
      </c>
    </row>
    <row r="23" spans="1:32" ht="26.25" customHeight="1" x14ac:dyDescent="0.2">
      <c r="A23" s="25">
        <v>13</v>
      </c>
      <c r="B23" s="28" t="s">
        <v>69</v>
      </c>
      <c r="C23" s="29">
        <v>11</v>
      </c>
      <c r="D23" s="27">
        <v>91</v>
      </c>
      <c r="E23" s="27">
        <v>18</v>
      </c>
      <c r="F23" s="27">
        <v>73</v>
      </c>
      <c r="G23" s="27">
        <v>4702</v>
      </c>
      <c r="H23" s="27">
        <v>2796</v>
      </c>
      <c r="I23" s="27">
        <v>1906</v>
      </c>
      <c r="J23" s="27"/>
      <c r="K23" s="27"/>
      <c r="L23" s="27"/>
      <c r="M23" s="27"/>
      <c r="N23" s="27"/>
      <c r="O23" s="27"/>
      <c r="P23" s="27"/>
      <c r="Q23" s="27"/>
      <c r="R23" s="27"/>
      <c r="S23" s="27">
        <v>11</v>
      </c>
      <c r="T23" s="27">
        <v>91</v>
      </c>
      <c r="U23" s="27">
        <v>18</v>
      </c>
      <c r="V23" s="27">
        <v>73</v>
      </c>
      <c r="W23" s="27">
        <v>4702</v>
      </c>
      <c r="X23" s="27">
        <v>2796</v>
      </c>
      <c r="Y23" s="27">
        <v>1906</v>
      </c>
      <c r="Z23" s="27"/>
      <c r="AA23" s="27"/>
      <c r="AB23" s="27">
        <v>40000</v>
      </c>
      <c r="AC23" s="27">
        <v>188080000</v>
      </c>
      <c r="AD23" s="27">
        <v>188080000</v>
      </c>
      <c r="AE23" s="27">
        <v>0</v>
      </c>
      <c r="AF23" s="27">
        <v>188080000</v>
      </c>
    </row>
    <row r="24" spans="1:32" ht="27" customHeight="1" x14ac:dyDescent="0.2">
      <c r="A24" s="25">
        <v>14</v>
      </c>
      <c r="B24" s="28" t="s">
        <v>70</v>
      </c>
      <c r="C24" s="29">
        <v>3</v>
      </c>
      <c r="D24" s="27">
        <v>7</v>
      </c>
      <c r="E24" s="27">
        <v>5</v>
      </c>
      <c r="F24" s="27">
        <v>2</v>
      </c>
      <c r="G24" s="27">
        <v>713</v>
      </c>
      <c r="H24" s="27">
        <v>706</v>
      </c>
      <c r="I24" s="27">
        <v>7</v>
      </c>
      <c r="J24" s="27"/>
      <c r="K24" s="27"/>
      <c r="L24" s="27"/>
      <c r="M24" s="27"/>
      <c r="N24" s="27"/>
      <c r="O24" s="27"/>
      <c r="P24" s="27"/>
      <c r="Q24" s="27"/>
      <c r="R24" s="27"/>
      <c r="S24" s="27">
        <v>3</v>
      </c>
      <c r="T24" s="27">
        <v>7</v>
      </c>
      <c r="U24" s="27">
        <v>5</v>
      </c>
      <c r="V24" s="27">
        <v>2</v>
      </c>
      <c r="W24" s="27">
        <v>713</v>
      </c>
      <c r="X24" s="27">
        <v>706</v>
      </c>
      <c r="Y24" s="27">
        <v>7</v>
      </c>
      <c r="Z24" s="27"/>
      <c r="AA24" s="27"/>
      <c r="AB24" s="27">
        <v>40000</v>
      </c>
      <c r="AC24" s="27">
        <v>28520000</v>
      </c>
      <c r="AD24" s="27">
        <v>28520000</v>
      </c>
      <c r="AE24" s="27">
        <v>0</v>
      </c>
      <c r="AF24" s="27">
        <v>28520000</v>
      </c>
    </row>
    <row r="25" spans="1:32" ht="27" customHeight="1" x14ac:dyDescent="0.2">
      <c r="A25" s="25">
        <v>15</v>
      </c>
      <c r="B25" s="28" t="s">
        <v>71</v>
      </c>
      <c r="C25" s="29">
        <v>7</v>
      </c>
      <c r="D25" s="27">
        <v>206</v>
      </c>
      <c r="E25" s="27">
        <v>15</v>
      </c>
      <c r="F25" s="27">
        <v>191</v>
      </c>
      <c r="G25" s="27">
        <v>9473</v>
      </c>
      <c r="H25" s="27">
        <v>2478</v>
      </c>
      <c r="I25" s="27">
        <v>6995</v>
      </c>
      <c r="J25" s="27"/>
      <c r="K25" s="27"/>
      <c r="L25" s="27"/>
      <c r="M25" s="27"/>
      <c r="N25" s="27"/>
      <c r="O25" s="27"/>
      <c r="P25" s="27"/>
      <c r="Q25" s="27"/>
      <c r="R25" s="27"/>
      <c r="S25" s="27">
        <v>7</v>
      </c>
      <c r="T25" s="27">
        <v>206</v>
      </c>
      <c r="U25" s="27">
        <v>15</v>
      </c>
      <c r="V25" s="27">
        <v>191</v>
      </c>
      <c r="W25" s="27">
        <v>9473.2999999999993</v>
      </c>
      <c r="X25" s="27">
        <v>2478</v>
      </c>
      <c r="Y25" s="27">
        <v>6995.3</v>
      </c>
      <c r="Z25" s="27"/>
      <c r="AA25" s="27"/>
      <c r="AB25" s="27">
        <v>40000</v>
      </c>
      <c r="AC25" s="27">
        <v>378932000</v>
      </c>
      <c r="AD25" s="27">
        <v>378932000</v>
      </c>
      <c r="AE25" s="27">
        <v>0</v>
      </c>
      <c r="AF25" s="27">
        <v>378932000</v>
      </c>
    </row>
    <row r="26" spans="1:32" ht="17.25" customHeight="1" x14ac:dyDescent="0.2">
      <c r="A26" s="25">
        <v>16</v>
      </c>
      <c r="B26" s="28" t="s">
        <v>72</v>
      </c>
      <c r="C26" s="29">
        <v>10</v>
      </c>
      <c r="D26" s="27">
        <v>56</v>
      </c>
      <c r="E26" s="27">
        <v>15</v>
      </c>
      <c r="F26" s="27">
        <v>41</v>
      </c>
      <c r="G26" s="27">
        <v>3063</v>
      </c>
      <c r="H26" s="27">
        <v>1687</v>
      </c>
      <c r="I26" s="27">
        <v>1376</v>
      </c>
      <c r="J26" s="27"/>
      <c r="K26" s="27"/>
      <c r="L26" s="27"/>
      <c r="M26" s="27"/>
      <c r="N26" s="27"/>
      <c r="O26" s="27"/>
      <c r="P26" s="27"/>
      <c r="Q26" s="27"/>
      <c r="R26" s="27"/>
      <c r="S26" s="27">
        <v>10</v>
      </c>
      <c r="T26" s="27">
        <v>56</v>
      </c>
      <c r="U26" s="27">
        <v>15</v>
      </c>
      <c r="V26" s="27">
        <v>41</v>
      </c>
      <c r="W26" s="27">
        <v>3063</v>
      </c>
      <c r="X26" s="27">
        <v>1687</v>
      </c>
      <c r="Y26" s="27">
        <v>1376</v>
      </c>
      <c r="Z26" s="27"/>
      <c r="AA26" s="27"/>
      <c r="AB26" s="27">
        <v>40000</v>
      </c>
      <c r="AC26" s="27">
        <v>122520000</v>
      </c>
      <c r="AD26" s="27">
        <v>122520000</v>
      </c>
      <c r="AE26" s="27">
        <v>0</v>
      </c>
      <c r="AF26" s="27">
        <v>122520000</v>
      </c>
    </row>
    <row r="27" spans="1:32" ht="17.25" customHeight="1" x14ac:dyDescent="0.2">
      <c r="A27" s="25">
        <v>17</v>
      </c>
      <c r="B27" s="28" t="s">
        <v>73</v>
      </c>
      <c r="C27" s="29">
        <v>1</v>
      </c>
      <c r="D27" s="27">
        <v>11</v>
      </c>
      <c r="E27" s="27">
        <v>1</v>
      </c>
      <c r="F27" s="27">
        <v>10</v>
      </c>
      <c r="G27" s="27">
        <v>197</v>
      </c>
      <c r="H27" s="27">
        <v>101</v>
      </c>
      <c r="I27" s="27">
        <v>96</v>
      </c>
      <c r="J27" s="27"/>
      <c r="K27" s="27"/>
      <c r="L27" s="27"/>
      <c r="M27" s="27"/>
      <c r="N27" s="27"/>
      <c r="O27" s="27"/>
      <c r="P27" s="27"/>
      <c r="Q27" s="27"/>
      <c r="R27" s="27"/>
      <c r="S27" s="27">
        <v>1</v>
      </c>
      <c r="T27" s="27">
        <v>11</v>
      </c>
      <c r="U27" s="27">
        <v>1</v>
      </c>
      <c r="V27" s="27">
        <v>10</v>
      </c>
      <c r="W27" s="27">
        <v>197</v>
      </c>
      <c r="X27" s="27">
        <v>101</v>
      </c>
      <c r="Y27" s="27">
        <v>96</v>
      </c>
      <c r="Z27" s="27"/>
      <c r="AA27" s="27"/>
      <c r="AB27" s="27">
        <v>40000</v>
      </c>
      <c r="AC27" s="27">
        <v>7880000</v>
      </c>
      <c r="AD27" s="27">
        <v>7880000</v>
      </c>
      <c r="AE27" s="27">
        <v>0</v>
      </c>
      <c r="AF27" s="27">
        <v>7880000</v>
      </c>
    </row>
    <row r="28" spans="1:32" ht="27" customHeight="1" x14ac:dyDescent="0.2">
      <c r="A28" s="25">
        <v>18</v>
      </c>
      <c r="B28" s="28" t="s">
        <v>74</v>
      </c>
      <c r="C28" s="29">
        <v>2</v>
      </c>
      <c r="D28" s="27">
        <v>20</v>
      </c>
      <c r="E28" s="27">
        <v>2</v>
      </c>
      <c r="F28" s="27">
        <v>18</v>
      </c>
      <c r="G28" s="27">
        <v>1098</v>
      </c>
      <c r="H28" s="27">
        <v>316</v>
      </c>
      <c r="I28" s="27">
        <v>782</v>
      </c>
      <c r="J28" s="27"/>
      <c r="K28" s="27"/>
      <c r="L28" s="27"/>
      <c r="M28" s="27"/>
      <c r="N28" s="27"/>
      <c r="O28" s="27"/>
      <c r="P28" s="27"/>
      <c r="Q28" s="27"/>
      <c r="R28" s="27"/>
      <c r="S28" s="27">
        <v>2</v>
      </c>
      <c r="T28" s="27">
        <v>20</v>
      </c>
      <c r="U28" s="27">
        <v>2</v>
      </c>
      <c r="V28" s="27">
        <v>18</v>
      </c>
      <c r="W28" s="27">
        <v>1098</v>
      </c>
      <c r="X28" s="27">
        <v>316</v>
      </c>
      <c r="Y28" s="27">
        <v>782</v>
      </c>
      <c r="Z28" s="27"/>
      <c r="AA28" s="27"/>
      <c r="AB28" s="27">
        <v>40000</v>
      </c>
      <c r="AC28" s="27">
        <v>43920000</v>
      </c>
      <c r="AD28" s="27">
        <v>43920000</v>
      </c>
      <c r="AE28" s="27">
        <v>0</v>
      </c>
      <c r="AF28" s="27">
        <v>43920000</v>
      </c>
    </row>
    <row r="29" spans="1:32" ht="17.25" customHeight="1" x14ac:dyDescent="0.2">
      <c r="A29" s="25">
        <v>19</v>
      </c>
      <c r="B29" s="28" t="s">
        <v>75</v>
      </c>
      <c r="C29" s="29">
        <v>2</v>
      </c>
      <c r="D29" s="27">
        <v>10</v>
      </c>
      <c r="E29" s="27">
        <v>1</v>
      </c>
      <c r="F29" s="27">
        <v>9</v>
      </c>
      <c r="G29" s="27">
        <v>191</v>
      </c>
      <c r="H29" s="27">
        <v>94</v>
      </c>
      <c r="I29" s="27">
        <v>97</v>
      </c>
      <c r="J29" s="27"/>
      <c r="K29" s="27"/>
      <c r="L29" s="27"/>
      <c r="M29" s="27"/>
      <c r="N29" s="27"/>
      <c r="O29" s="27"/>
      <c r="P29" s="27"/>
      <c r="Q29" s="27"/>
      <c r="R29" s="27"/>
      <c r="S29" s="27">
        <v>2</v>
      </c>
      <c r="T29" s="27">
        <v>10</v>
      </c>
      <c r="U29" s="27">
        <v>1</v>
      </c>
      <c r="V29" s="27">
        <v>9</v>
      </c>
      <c r="W29" s="27">
        <v>191</v>
      </c>
      <c r="X29" s="27">
        <v>94</v>
      </c>
      <c r="Y29" s="27">
        <v>97</v>
      </c>
      <c r="Z29" s="27"/>
      <c r="AA29" s="27"/>
      <c r="AB29" s="27">
        <v>40000</v>
      </c>
      <c r="AC29" s="27">
        <v>7640000</v>
      </c>
      <c r="AD29" s="27">
        <v>7640000</v>
      </c>
      <c r="AE29" s="27">
        <v>0</v>
      </c>
      <c r="AF29" s="27">
        <v>7640000</v>
      </c>
    </row>
    <row r="30" spans="1:32" ht="17.25" customHeight="1" x14ac:dyDescent="0.2">
      <c r="A30" s="25">
        <v>20</v>
      </c>
      <c r="B30" s="28" t="s">
        <v>76</v>
      </c>
      <c r="C30" s="29">
        <v>3</v>
      </c>
      <c r="D30" s="27">
        <v>29</v>
      </c>
      <c r="E30" s="27">
        <v>12</v>
      </c>
      <c r="F30" s="27">
        <v>17</v>
      </c>
      <c r="G30" s="27">
        <v>2949</v>
      </c>
      <c r="H30" s="27">
        <v>1844</v>
      </c>
      <c r="I30" s="27">
        <v>1105</v>
      </c>
      <c r="J30" s="27"/>
      <c r="K30" s="27"/>
      <c r="L30" s="27"/>
      <c r="M30" s="27"/>
      <c r="N30" s="27"/>
      <c r="O30" s="27"/>
      <c r="P30" s="27"/>
      <c r="Q30" s="27"/>
      <c r="R30" s="27"/>
      <c r="S30" s="27">
        <v>3</v>
      </c>
      <c r="T30" s="27">
        <v>29</v>
      </c>
      <c r="U30" s="27">
        <v>12</v>
      </c>
      <c r="V30" s="27">
        <v>17</v>
      </c>
      <c r="W30" s="27">
        <v>2949</v>
      </c>
      <c r="X30" s="27">
        <v>1844</v>
      </c>
      <c r="Y30" s="27">
        <v>1105</v>
      </c>
      <c r="Z30" s="27"/>
      <c r="AA30" s="27"/>
      <c r="AB30" s="27">
        <v>40000</v>
      </c>
      <c r="AC30" s="27">
        <v>117960000</v>
      </c>
      <c r="AD30" s="27">
        <v>117960000</v>
      </c>
      <c r="AE30" s="27">
        <v>0</v>
      </c>
      <c r="AF30" s="27">
        <v>117960000</v>
      </c>
    </row>
    <row r="31" spans="1:32" ht="15" customHeight="1" x14ac:dyDescent="0.2">
      <c r="A31" s="73" t="s">
        <v>77</v>
      </c>
      <c r="B31" s="74"/>
      <c r="C31" s="29">
        <v>112</v>
      </c>
      <c r="D31" s="27">
        <v>1304</v>
      </c>
      <c r="E31" s="27">
        <v>175</v>
      </c>
      <c r="F31" s="27">
        <v>1129</v>
      </c>
      <c r="G31" s="27">
        <v>74864</v>
      </c>
      <c r="H31" s="27">
        <v>25125</v>
      </c>
      <c r="I31" s="27">
        <v>49739</v>
      </c>
      <c r="J31" s="27">
        <v>0</v>
      </c>
      <c r="K31" s="27">
        <v>0</v>
      </c>
      <c r="L31" s="27">
        <v>9</v>
      </c>
      <c r="M31" s="27">
        <v>0</v>
      </c>
      <c r="N31" s="27">
        <v>9</v>
      </c>
      <c r="O31" s="27">
        <v>585</v>
      </c>
      <c r="P31" s="27">
        <v>0</v>
      </c>
      <c r="Q31" s="27">
        <v>585</v>
      </c>
      <c r="R31" s="27">
        <v>0</v>
      </c>
      <c r="S31" s="27">
        <v>112</v>
      </c>
      <c r="T31" s="27">
        <v>1295</v>
      </c>
      <c r="U31" s="27">
        <v>175</v>
      </c>
      <c r="V31" s="27">
        <v>1120</v>
      </c>
      <c r="W31" s="27">
        <v>74279</v>
      </c>
      <c r="X31" s="27">
        <v>25125</v>
      </c>
      <c r="Y31" s="27">
        <v>49154</v>
      </c>
      <c r="Z31" s="27">
        <v>38000</v>
      </c>
      <c r="AA31" s="27">
        <v>22230000</v>
      </c>
      <c r="AB31" s="27">
        <v>800000</v>
      </c>
      <c r="AC31" s="27">
        <v>2971152000</v>
      </c>
      <c r="AD31" s="27">
        <v>2993382000</v>
      </c>
      <c r="AE31" s="27">
        <v>0</v>
      </c>
      <c r="AF31" s="27">
        <v>2993382000</v>
      </c>
    </row>
  </sheetData>
  <mergeCells count="46">
    <mergeCell ref="A1:AF1"/>
    <mergeCell ref="A2:AF2"/>
    <mergeCell ref="A3:AF3"/>
    <mergeCell ref="A4:AF4"/>
    <mergeCell ref="A5:A9"/>
    <mergeCell ref="B5:B9"/>
    <mergeCell ref="C5:I6"/>
    <mergeCell ref="J5:Y5"/>
    <mergeCell ref="Z5:AC5"/>
    <mergeCell ref="AD5:AD9"/>
    <mergeCell ref="AE5:AF5"/>
    <mergeCell ref="J6:Q6"/>
    <mergeCell ref="R6:Y6"/>
    <mergeCell ref="Z6:AA6"/>
    <mergeCell ref="AB6:AC6"/>
    <mergeCell ref="AE6:AE9"/>
    <mergeCell ref="AF6:AF9"/>
    <mergeCell ref="C7:C9"/>
    <mergeCell ref="D7:F7"/>
    <mergeCell ref="G7:I7"/>
    <mergeCell ref="J7:J9"/>
    <mergeCell ref="K7:K9"/>
    <mergeCell ref="L7:N7"/>
    <mergeCell ref="O7:Q7"/>
    <mergeCell ref="R7:R9"/>
    <mergeCell ref="S7:S9"/>
    <mergeCell ref="T7:V7"/>
    <mergeCell ref="W7:Y7"/>
    <mergeCell ref="Z7:Z9"/>
    <mergeCell ref="AA7:AA9"/>
    <mergeCell ref="AB7:AB9"/>
    <mergeCell ref="AC7:AC9"/>
    <mergeCell ref="W8:W9"/>
    <mergeCell ref="X8:Y8"/>
    <mergeCell ref="A10:B10"/>
    <mergeCell ref="A31:B31"/>
    <mergeCell ref="M8:N8"/>
    <mergeCell ref="O8:O9"/>
    <mergeCell ref="P8:Q8"/>
    <mergeCell ref="T8:T9"/>
    <mergeCell ref="U8:V8"/>
    <mergeCell ref="D8:D9"/>
    <mergeCell ref="E8:F8"/>
    <mergeCell ref="G8:G9"/>
    <mergeCell ref="H8:I8"/>
    <mergeCell ref="L8:L9"/>
  </mergeCells>
  <pageMargins left="0.31496062992125984" right="0.11811023622047245" top="0.74803149606299213" bottom="0.74803149606299213" header="0.31496062992125984" footer="0.31496062992125984"/>
  <pageSetup paperSize="9" scale="7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1"/>
  <sheetViews>
    <sheetView tabSelected="1" view="pageBreakPreview" topLeftCell="A52" zoomScale="112" zoomScaleNormal="100" zoomScaleSheetLayoutView="112" workbookViewId="0">
      <selection activeCell="Y10" sqref="Y10"/>
    </sheetView>
  </sheetViews>
  <sheetFormatPr defaultRowHeight="12.75" x14ac:dyDescent="0.2"/>
  <cols>
    <col min="1" max="1" width="6.83203125" customWidth="1"/>
    <col min="2" max="2" width="24.1640625" customWidth="1"/>
    <col min="3" max="3" width="18" customWidth="1"/>
    <col min="4" max="4" width="10.83203125" customWidth="1"/>
    <col min="5" max="5" width="13.5" customWidth="1"/>
    <col min="6" max="6" width="11.1640625" customWidth="1"/>
    <col min="7" max="7" width="18.5" style="36" customWidth="1"/>
    <col min="8" max="8" width="19" customWidth="1"/>
    <col min="9" max="9" width="3" customWidth="1"/>
    <col min="10" max="10" width="9.6640625" hidden="1" customWidth="1"/>
    <col min="11" max="11" width="7.1640625" hidden="1" customWidth="1"/>
    <col min="12" max="12" width="20.5" hidden="1" customWidth="1"/>
    <col min="13" max="14" width="10.6640625" hidden="1" customWidth="1"/>
    <col min="15" max="15" width="7.1640625" hidden="1" customWidth="1"/>
    <col min="16" max="16" width="9.83203125" hidden="1" customWidth="1"/>
    <col min="17" max="17" width="8.83203125" hidden="1" customWidth="1"/>
    <col min="18" max="18" width="5.33203125" hidden="1" customWidth="1"/>
    <col min="19" max="21" width="9.33203125" hidden="1" customWidth="1"/>
    <col min="22" max="22" width="12.83203125" hidden="1" customWidth="1"/>
    <col min="24" max="24" width="23.5" customWidth="1"/>
  </cols>
  <sheetData>
    <row r="1" spans="1:16" ht="12" customHeight="1" x14ac:dyDescent="0.2">
      <c r="A1" s="116" t="s">
        <v>212</v>
      </c>
      <c r="B1" s="116"/>
      <c r="C1" s="116"/>
      <c r="D1" s="116"/>
      <c r="E1" s="116"/>
      <c r="F1" s="116"/>
      <c r="G1" s="116"/>
      <c r="H1" s="116"/>
    </row>
    <row r="2" spans="1:16" ht="12.2" customHeight="1" x14ac:dyDescent="0.2">
      <c r="A2" s="116" t="s">
        <v>200</v>
      </c>
      <c r="B2" s="116"/>
      <c r="C2" s="116"/>
      <c r="D2" s="116"/>
      <c r="E2" s="116"/>
      <c r="F2" s="116"/>
      <c r="G2" s="116"/>
      <c r="H2" s="116"/>
    </row>
    <row r="3" spans="1:16" ht="14.45" customHeight="1" x14ac:dyDescent="0.2">
      <c r="A3" s="130" t="s">
        <v>213</v>
      </c>
      <c r="B3" s="130"/>
      <c r="C3" s="130"/>
      <c r="D3" s="130"/>
      <c r="E3" s="130"/>
      <c r="F3" s="130"/>
      <c r="G3" s="130"/>
      <c r="H3" s="130"/>
    </row>
    <row r="4" spans="1:16" ht="3.75" customHeight="1" x14ac:dyDescent="0.2">
      <c r="A4" s="48"/>
      <c r="B4" s="48"/>
      <c r="C4" s="48"/>
      <c r="D4" s="48"/>
      <c r="E4" s="48"/>
      <c r="F4" s="48"/>
      <c r="G4" s="35"/>
      <c r="H4" s="48"/>
    </row>
    <row r="5" spans="1:16" ht="60" customHeight="1" x14ac:dyDescent="0.2">
      <c r="A5" s="32" t="s">
        <v>34</v>
      </c>
      <c r="B5" s="32" t="s">
        <v>84</v>
      </c>
      <c r="C5" s="33" t="s">
        <v>88</v>
      </c>
      <c r="D5" s="34" t="s">
        <v>85</v>
      </c>
      <c r="E5" s="34" t="s">
        <v>209</v>
      </c>
      <c r="F5" s="34" t="s">
        <v>208</v>
      </c>
      <c r="G5" s="34" t="s">
        <v>86</v>
      </c>
      <c r="H5" s="34" t="s">
        <v>87</v>
      </c>
      <c r="P5">
        <f>512000+993000+993000</f>
        <v>2498000</v>
      </c>
    </row>
    <row r="6" spans="1:16" s="49" customFormat="1" ht="23.25" customHeight="1" x14ac:dyDescent="0.2">
      <c r="A6" s="37">
        <v>1</v>
      </c>
      <c r="B6" s="38" t="s">
        <v>89</v>
      </c>
      <c r="C6" s="38" t="s">
        <v>57</v>
      </c>
      <c r="D6" s="39">
        <v>9</v>
      </c>
      <c r="E6" s="39">
        <v>585</v>
      </c>
      <c r="F6" s="43">
        <v>38000</v>
      </c>
      <c r="G6" s="44">
        <f>Table1[[#This Row],[Trọng lượng]]*Table1[[#This Row],[Định mức]]</f>
        <v>22230000</v>
      </c>
      <c r="H6" s="40"/>
      <c r="J6" s="49">
        <f>65+64+65+67+63+65+66+65+65</f>
        <v>585</v>
      </c>
      <c r="M6" s="49" t="e">
        <f>SUM(#REF!)</f>
        <v>#REF!</v>
      </c>
      <c r="N6" s="49" t="e">
        <f>#REF!-M6</f>
        <v>#REF!</v>
      </c>
      <c r="P6" s="50" t="s">
        <v>57</v>
      </c>
    </row>
    <row r="7" spans="1:16" s="49" customFormat="1" ht="23.25" customHeight="1" x14ac:dyDescent="0.2">
      <c r="A7" s="37">
        <v>2</v>
      </c>
      <c r="B7" s="38" t="s">
        <v>90</v>
      </c>
      <c r="C7" s="38" t="s">
        <v>202</v>
      </c>
      <c r="D7" s="39">
        <v>8</v>
      </c>
      <c r="E7" s="39">
        <v>865</v>
      </c>
      <c r="F7" s="43">
        <v>40000</v>
      </c>
      <c r="G7" s="44">
        <f>Table1[[#This Row],[Trọng lượng]]*Table1[[#This Row],[Định mức]]</f>
        <v>34600000</v>
      </c>
      <c r="H7" s="40"/>
      <c r="J7" s="49">
        <f>109+97+103+101+100+100+112+143</f>
        <v>865</v>
      </c>
      <c r="M7" s="49" t="e">
        <f>SUM(#REF!)</f>
        <v>#REF!</v>
      </c>
      <c r="N7" s="49" t="e">
        <f>#REF!-M7</f>
        <v>#REF!</v>
      </c>
      <c r="P7" s="51" t="s">
        <v>65</v>
      </c>
    </row>
    <row r="8" spans="1:16" s="49" customFormat="1" ht="20.85" customHeight="1" x14ac:dyDescent="0.2">
      <c r="A8" s="37">
        <v>3</v>
      </c>
      <c r="B8" s="38" t="s">
        <v>91</v>
      </c>
      <c r="C8" s="38" t="s">
        <v>202</v>
      </c>
      <c r="D8" s="39">
        <v>1</v>
      </c>
      <c r="E8" s="39">
        <v>151</v>
      </c>
      <c r="F8" s="43">
        <v>40000</v>
      </c>
      <c r="G8" s="44">
        <f>Table1[[#This Row],[Trọng lượng]]*Table1[[#This Row],[Định mức]]</f>
        <v>6040000</v>
      </c>
      <c r="H8" s="45"/>
      <c r="M8" s="49" t="e">
        <f>SUM(#REF!)</f>
        <v>#REF!</v>
      </c>
      <c r="N8" s="49" t="e">
        <f>#REF!-M8</f>
        <v>#REF!</v>
      </c>
      <c r="P8" s="50" t="s">
        <v>65</v>
      </c>
    </row>
    <row r="9" spans="1:16" s="49" customFormat="1" ht="24" customHeight="1" x14ac:dyDescent="0.2">
      <c r="A9" s="37">
        <v>4</v>
      </c>
      <c r="B9" s="38" t="s">
        <v>92</v>
      </c>
      <c r="C9" s="38" t="s">
        <v>60</v>
      </c>
      <c r="D9" s="39">
        <v>1</v>
      </c>
      <c r="E9" s="39">
        <v>87</v>
      </c>
      <c r="F9" s="43">
        <v>40000</v>
      </c>
      <c r="G9" s="44">
        <f>Table1[[#This Row],[Trọng lượng]]*Table1[[#This Row],[Định mức]]</f>
        <v>3480000</v>
      </c>
      <c r="H9" s="40"/>
      <c r="M9" s="49" t="e">
        <f>SUM(#REF!)</f>
        <v>#REF!</v>
      </c>
      <c r="N9" s="49" t="e">
        <f>#REF!-M9</f>
        <v>#REF!</v>
      </c>
      <c r="P9" s="51" t="s">
        <v>59</v>
      </c>
    </row>
    <row r="10" spans="1:16" s="49" customFormat="1" ht="20.45" customHeight="1" x14ac:dyDescent="0.2">
      <c r="A10" s="37">
        <v>5</v>
      </c>
      <c r="B10" s="38" t="s">
        <v>92</v>
      </c>
      <c r="C10" s="38" t="s">
        <v>60</v>
      </c>
      <c r="D10" s="39">
        <v>1</v>
      </c>
      <c r="E10" s="39">
        <v>123</v>
      </c>
      <c r="F10" s="43">
        <v>40000</v>
      </c>
      <c r="G10" s="44">
        <f>Table1[[#This Row],[Trọng lượng]]*Table1[[#This Row],[Định mức]]</f>
        <v>4920000</v>
      </c>
      <c r="H10" s="45"/>
      <c r="M10" s="49" t="e">
        <f>SUM(#REF!)</f>
        <v>#REF!</v>
      </c>
      <c r="N10" s="49" t="e">
        <f>#REF!-M10</f>
        <v>#REF!</v>
      </c>
      <c r="P10" s="50" t="s">
        <v>59</v>
      </c>
    </row>
    <row r="11" spans="1:16" s="49" customFormat="1" ht="24" customHeight="1" x14ac:dyDescent="0.2">
      <c r="A11" s="37">
        <v>6</v>
      </c>
      <c r="B11" s="38" t="s">
        <v>93</v>
      </c>
      <c r="C11" s="38" t="s">
        <v>203</v>
      </c>
      <c r="D11" s="39">
        <v>41</v>
      </c>
      <c r="E11" s="46">
        <v>2835</v>
      </c>
      <c r="F11" s="43">
        <v>40000</v>
      </c>
      <c r="G11" s="44">
        <f>Table1[[#This Row],[Trọng lượng]]*Table1[[#This Row],[Định mức]]</f>
        <v>113400000</v>
      </c>
      <c r="H11" s="40"/>
      <c r="J11" s="49">
        <f>97+73+85+88+92+78+91+89+80+84+79+86+95+93+90+81+77+83+79+86+87+81+75+82+86+92+92+89+87+92+163+9+11+12+10+11+9+10+9+8+14</f>
        <v>2835</v>
      </c>
      <c r="M11" s="49" t="e">
        <f>SUM(#REF!)</f>
        <v>#REF!</v>
      </c>
      <c r="N11" s="49" t="e">
        <f>#REF!-M11</f>
        <v>#REF!</v>
      </c>
      <c r="P11" s="51" t="s">
        <v>58</v>
      </c>
    </row>
    <row r="12" spans="1:16" s="49" customFormat="1" ht="20.45" customHeight="1" x14ac:dyDescent="0.2">
      <c r="A12" s="37">
        <v>7</v>
      </c>
      <c r="B12" s="38" t="s">
        <v>94</v>
      </c>
      <c r="C12" s="38" t="s">
        <v>203</v>
      </c>
      <c r="D12" s="39">
        <v>10</v>
      </c>
      <c r="E12" s="39">
        <v>877</v>
      </c>
      <c r="F12" s="43">
        <v>40000</v>
      </c>
      <c r="G12" s="44">
        <f>Table1[[#This Row],[Trọng lượng]]*Table1[[#This Row],[Định mức]]</f>
        <v>35080000</v>
      </c>
      <c r="H12" s="45"/>
      <c r="J12" s="49">
        <f>85+94+91+89+95+94+80+86+84+79</f>
        <v>877</v>
      </c>
      <c r="M12" s="49" t="e">
        <f>SUM(#REF!)</f>
        <v>#REF!</v>
      </c>
      <c r="N12" s="49" t="e">
        <f>#REF!-M12</f>
        <v>#REF!</v>
      </c>
      <c r="P12" s="50" t="s">
        <v>58</v>
      </c>
    </row>
    <row r="13" spans="1:16" s="49" customFormat="1" ht="20.85" customHeight="1" x14ac:dyDescent="0.2">
      <c r="A13" s="37">
        <v>8</v>
      </c>
      <c r="B13" s="38" t="s">
        <v>95</v>
      </c>
      <c r="C13" s="38" t="s">
        <v>60</v>
      </c>
      <c r="D13" s="39">
        <v>48</v>
      </c>
      <c r="E13" s="46">
        <v>2946</v>
      </c>
      <c r="F13" s="43">
        <v>40000</v>
      </c>
      <c r="G13" s="44">
        <f>Table1[[#This Row],[Trọng lượng]]*Table1[[#This Row],[Định mức]]</f>
        <v>117840000</v>
      </c>
      <c r="H13" s="45"/>
      <c r="J13" s="49">
        <f>62+73+67+59+61+69+63+62+66+63+70+65+63+68+70+61+64+64+66+43+53+49+64+57+62+57+55+60+62+73+75+70+46+58+61+40+73+68+61+58+55+57+60+57+58+46+70+62</f>
        <v>2946</v>
      </c>
      <c r="M13" s="49" t="e">
        <f>SUM(#REF!)</f>
        <v>#REF!</v>
      </c>
      <c r="N13" s="49" t="e">
        <f>#REF!-M13</f>
        <v>#REF!</v>
      </c>
      <c r="P13" s="51" t="s">
        <v>59</v>
      </c>
    </row>
    <row r="14" spans="1:16" s="49" customFormat="1" ht="24" customHeight="1" x14ac:dyDescent="0.2">
      <c r="A14" s="37">
        <v>9</v>
      </c>
      <c r="B14" s="38" t="s">
        <v>96</v>
      </c>
      <c r="C14" s="38" t="s">
        <v>204</v>
      </c>
      <c r="D14" s="39">
        <v>1</v>
      </c>
      <c r="E14" s="39">
        <v>137</v>
      </c>
      <c r="F14" s="43">
        <v>40000</v>
      </c>
      <c r="G14" s="44">
        <f>Table1[[#This Row],[Trọng lượng]]*Table1[[#This Row],[Định mức]]</f>
        <v>5480000</v>
      </c>
      <c r="H14" s="40"/>
      <c r="M14" s="49" t="e">
        <f>SUM(#REF!)</f>
        <v>#REF!</v>
      </c>
      <c r="N14" s="49" t="e">
        <f>#REF!-M14</f>
        <v>#REF!</v>
      </c>
      <c r="P14" s="50" t="s">
        <v>69</v>
      </c>
    </row>
    <row r="15" spans="1:16" s="49" customFormat="1" ht="33.75" customHeight="1" x14ac:dyDescent="0.2">
      <c r="A15" s="37">
        <v>10</v>
      </c>
      <c r="B15" s="38" t="s">
        <v>97</v>
      </c>
      <c r="C15" s="38" t="s">
        <v>205</v>
      </c>
      <c r="D15" s="39">
        <v>2</v>
      </c>
      <c r="E15" s="39">
        <v>148</v>
      </c>
      <c r="F15" s="43">
        <v>40000</v>
      </c>
      <c r="G15" s="44">
        <f>Table1[[#This Row],[Trọng lượng]]*Table1[[#This Row],[Định mức]]</f>
        <v>5920000</v>
      </c>
      <c r="H15" s="40"/>
      <c r="M15" s="49" t="e">
        <f>SUM(#REF!)</f>
        <v>#REF!</v>
      </c>
      <c r="N15" s="49" t="e">
        <f>#REF!-M15</f>
        <v>#REF!</v>
      </c>
      <c r="P15" s="51" t="s">
        <v>61</v>
      </c>
    </row>
    <row r="16" spans="1:16" s="49" customFormat="1" ht="20.45" customHeight="1" x14ac:dyDescent="0.2">
      <c r="A16" s="37">
        <v>11</v>
      </c>
      <c r="B16" s="38" t="s">
        <v>98</v>
      </c>
      <c r="C16" s="38" t="s">
        <v>72</v>
      </c>
      <c r="D16" s="39">
        <v>2</v>
      </c>
      <c r="E16" s="39">
        <v>251</v>
      </c>
      <c r="F16" s="43">
        <v>40000</v>
      </c>
      <c r="G16" s="44">
        <f>Table1[[#This Row],[Trọng lượng]]*Table1[[#This Row],[Định mức]]</f>
        <v>10040000</v>
      </c>
      <c r="H16" s="45"/>
      <c r="M16" s="49" t="e">
        <f>SUM(#REF!)</f>
        <v>#REF!</v>
      </c>
      <c r="N16" s="49" t="e">
        <f>#REF!-M16</f>
        <v>#REF!</v>
      </c>
      <c r="P16" s="50" t="s">
        <v>72</v>
      </c>
    </row>
    <row r="17" spans="1:16" s="49" customFormat="1" ht="20.45" customHeight="1" x14ac:dyDescent="0.2">
      <c r="A17" s="37">
        <v>12</v>
      </c>
      <c r="B17" s="38" t="s">
        <v>99</v>
      </c>
      <c r="C17" s="38" t="s">
        <v>204</v>
      </c>
      <c r="D17" s="39">
        <v>5</v>
      </c>
      <c r="E17" s="39">
        <v>279</v>
      </c>
      <c r="F17" s="43">
        <v>40000</v>
      </c>
      <c r="G17" s="44">
        <f>Table1[[#This Row],[Trọng lượng]]*Table1[[#This Row],[Định mức]]</f>
        <v>11160000</v>
      </c>
      <c r="H17" s="45"/>
      <c r="M17" s="49" t="e">
        <f>SUM(#REF!)</f>
        <v>#REF!</v>
      </c>
      <c r="N17" s="49" t="e">
        <f>#REF!-M17</f>
        <v>#REF!</v>
      </c>
      <c r="P17" s="51" t="s">
        <v>69</v>
      </c>
    </row>
    <row r="18" spans="1:16" s="49" customFormat="1" ht="20.85" customHeight="1" x14ac:dyDescent="0.2">
      <c r="A18" s="37">
        <v>13</v>
      </c>
      <c r="B18" s="38" t="s">
        <v>100</v>
      </c>
      <c r="C18" s="38" t="s">
        <v>72</v>
      </c>
      <c r="D18" s="39">
        <v>1</v>
      </c>
      <c r="E18" s="39">
        <v>136</v>
      </c>
      <c r="F18" s="43">
        <v>40000</v>
      </c>
      <c r="G18" s="44">
        <f>Table1[[#This Row],[Trọng lượng]]*Table1[[#This Row],[Định mức]]</f>
        <v>5440000</v>
      </c>
      <c r="H18" s="40"/>
      <c r="M18" s="49" t="e">
        <f>SUM(#REF!)</f>
        <v>#REF!</v>
      </c>
      <c r="N18" s="49" t="e">
        <f>#REF!-M18</f>
        <v>#REF!</v>
      </c>
      <c r="P18" s="50" t="s">
        <v>72</v>
      </c>
    </row>
    <row r="19" spans="1:16" s="49" customFormat="1" ht="20.45" customHeight="1" x14ac:dyDescent="0.2">
      <c r="A19" s="37">
        <v>14</v>
      </c>
      <c r="B19" s="38" t="s">
        <v>101</v>
      </c>
      <c r="C19" s="38" t="s">
        <v>60</v>
      </c>
      <c r="D19" s="39">
        <v>1</v>
      </c>
      <c r="E19" s="39">
        <v>6</v>
      </c>
      <c r="F19" s="43">
        <v>40000</v>
      </c>
      <c r="G19" s="44">
        <f>Table1[[#This Row],[Trọng lượng]]*Table1[[#This Row],[Định mức]]</f>
        <v>240000</v>
      </c>
      <c r="H19" s="40"/>
      <c r="M19" s="49" t="e">
        <f>SUM(#REF!)</f>
        <v>#REF!</v>
      </c>
      <c r="N19" s="49" t="e">
        <f>#REF!-M19</f>
        <v>#REF!</v>
      </c>
      <c r="P19" s="42" t="s">
        <v>60</v>
      </c>
    </row>
    <row r="20" spans="1:16" s="49" customFormat="1" ht="20.45" customHeight="1" x14ac:dyDescent="0.2">
      <c r="A20" s="37">
        <v>15</v>
      </c>
      <c r="B20" s="38" t="s">
        <v>102</v>
      </c>
      <c r="C20" s="38" t="s">
        <v>205</v>
      </c>
      <c r="D20" s="39">
        <v>1</v>
      </c>
      <c r="E20" s="39">
        <v>65</v>
      </c>
      <c r="F20" s="43">
        <v>40000</v>
      </c>
      <c r="G20" s="44">
        <f>Table1[[#This Row],[Trọng lượng]]*Table1[[#This Row],[Định mức]]</f>
        <v>2600000</v>
      </c>
      <c r="H20" s="45"/>
      <c r="M20" s="49" t="e">
        <f>SUM(#REF!)</f>
        <v>#REF!</v>
      </c>
      <c r="N20" s="49" t="e">
        <f>#REF!-M20</f>
        <v>#REF!</v>
      </c>
      <c r="P20" s="50" t="s">
        <v>61</v>
      </c>
    </row>
    <row r="21" spans="1:16" s="49" customFormat="1" ht="20.45" customHeight="1" x14ac:dyDescent="0.2">
      <c r="A21" s="37">
        <v>16</v>
      </c>
      <c r="B21" s="38" t="s">
        <v>89</v>
      </c>
      <c r="C21" s="38" t="s">
        <v>57</v>
      </c>
      <c r="D21" s="39">
        <v>11</v>
      </c>
      <c r="E21" s="39">
        <v>135</v>
      </c>
      <c r="F21" s="43">
        <v>40000</v>
      </c>
      <c r="G21" s="44">
        <f>Table1[[#This Row],[Trọng lượng]]*Table1[[#This Row],[Định mức]]</f>
        <v>5400000</v>
      </c>
      <c r="H21" s="45"/>
      <c r="M21" s="49" t="e">
        <f>SUM(#REF!)</f>
        <v>#REF!</v>
      </c>
      <c r="N21" s="49" t="e">
        <f>#REF!-M21</f>
        <v>#REF!</v>
      </c>
      <c r="P21" s="51" t="s">
        <v>57</v>
      </c>
    </row>
    <row r="22" spans="1:16" s="49" customFormat="1" ht="20.85" customHeight="1" x14ac:dyDescent="0.2">
      <c r="A22" s="37">
        <v>17</v>
      </c>
      <c r="B22" s="38" t="s">
        <v>91</v>
      </c>
      <c r="C22" s="38" t="s">
        <v>202</v>
      </c>
      <c r="D22" s="39">
        <v>2</v>
      </c>
      <c r="E22" s="39">
        <v>262</v>
      </c>
      <c r="F22" s="43">
        <v>40000</v>
      </c>
      <c r="G22" s="44">
        <f>Table1[[#This Row],[Trọng lượng]]*Table1[[#This Row],[Định mức]]</f>
        <v>10480000</v>
      </c>
      <c r="H22" s="45"/>
      <c r="M22" s="49" t="e">
        <f>SUM(#REF!)</f>
        <v>#REF!</v>
      </c>
      <c r="N22" s="49" t="e">
        <f>#REF!-M22</f>
        <v>#REF!</v>
      </c>
      <c r="P22" s="50" t="s">
        <v>65</v>
      </c>
    </row>
    <row r="23" spans="1:16" s="49" customFormat="1" ht="20.45" customHeight="1" x14ac:dyDescent="0.2">
      <c r="A23" s="37">
        <v>18</v>
      </c>
      <c r="B23" s="38" t="s">
        <v>101</v>
      </c>
      <c r="C23" s="38" t="s">
        <v>60</v>
      </c>
      <c r="D23" s="39">
        <v>9</v>
      </c>
      <c r="E23" s="39">
        <v>53</v>
      </c>
      <c r="F23" s="43">
        <v>40000</v>
      </c>
      <c r="G23" s="44">
        <f>Table1[[#This Row],[Trọng lượng]]*Table1[[#This Row],[Định mức]]</f>
        <v>2120000</v>
      </c>
      <c r="H23" s="45"/>
      <c r="M23" s="49" t="e">
        <f>SUM(#REF!)</f>
        <v>#REF!</v>
      </c>
      <c r="N23" s="49" t="e">
        <f>#REF!-M23</f>
        <v>#REF!</v>
      </c>
      <c r="P23" s="51" t="s">
        <v>60</v>
      </c>
    </row>
    <row r="24" spans="1:16" s="49" customFormat="1" ht="16.5" x14ac:dyDescent="0.2">
      <c r="A24" s="37">
        <v>19</v>
      </c>
      <c r="B24" s="38" t="s">
        <v>103</v>
      </c>
      <c r="C24" s="38" t="s">
        <v>60</v>
      </c>
      <c r="D24" s="39">
        <v>14</v>
      </c>
      <c r="E24" s="39">
        <v>107</v>
      </c>
      <c r="F24" s="43">
        <v>40000</v>
      </c>
      <c r="G24" s="44">
        <f>Table1[[#This Row],[Trọng lượng]]*Table1[[#This Row],[Định mức]]</f>
        <v>4280000</v>
      </c>
      <c r="H24" s="45"/>
      <c r="M24" s="49" t="e">
        <f>SUM(#REF!)</f>
        <v>#REF!</v>
      </c>
      <c r="N24" s="49" t="e">
        <f>#REF!-M24</f>
        <v>#REF!</v>
      </c>
      <c r="P24" s="50" t="s">
        <v>60</v>
      </c>
    </row>
    <row r="25" spans="1:16" s="49" customFormat="1" ht="16.5" x14ac:dyDescent="0.2">
      <c r="A25" s="37">
        <v>20</v>
      </c>
      <c r="B25" s="38" t="s">
        <v>104</v>
      </c>
      <c r="C25" s="38" t="s">
        <v>68</v>
      </c>
      <c r="D25" s="39">
        <v>2</v>
      </c>
      <c r="E25" s="39">
        <v>146</v>
      </c>
      <c r="F25" s="43">
        <v>40000</v>
      </c>
      <c r="G25" s="44">
        <f>Table1[[#This Row],[Trọng lượng]]*Table1[[#This Row],[Định mức]]</f>
        <v>5840000</v>
      </c>
      <c r="H25" s="40"/>
      <c r="M25" s="49" t="e">
        <f>SUM(#REF!)</f>
        <v>#REF!</v>
      </c>
      <c r="N25" s="49" t="e">
        <f>#REF!-M25</f>
        <v>#REF!</v>
      </c>
      <c r="P25" s="51" t="s">
        <v>68</v>
      </c>
    </row>
    <row r="26" spans="1:16" s="49" customFormat="1" ht="16.5" x14ac:dyDescent="0.2">
      <c r="A26" s="37">
        <v>21</v>
      </c>
      <c r="B26" s="38" t="s">
        <v>105</v>
      </c>
      <c r="C26" s="38" t="s">
        <v>72</v>
      </c>
      <c r="D26" s="39">
        <v>2</v>
      </c>
      <c r="E26" s="39">
        <v>101</v>
      </c>
      <c r="F26" s="43">
        <v>40000</v>
      </c>
      <c r="G26" s="44">
        <f>Table1[[#This Row],[Trọng lượng]]*Table1[[#This Row],[Định mức]]</f>
        <v>4040000</v>
      </c>
      <c r="H26" s="45"/>
      <c r="M26" s="49" t="e">
        <f>SUM(#REF!)</f>
        <v>#REF!</v>
      </c>
      <c r="N26" s="49" t="e">
        <f>#REF!-M26</f>
        <v>#REF!</v>
      </c>
      <c r="P26" s="50" t="s">
        <v>72</v>
      </c>
    </row>
    <row r="27" spans="1:16" s="49" customFormat="1" ht="16.5" x14ac:dyDescent="0.2">
      <c r="A27" s="37">
        <v>22</v>
      </c>
      <c r="B27" s="38" t="s">
        <v>106</v>
      </c>
      <c r="C27" s="38" t="s">
        <v>72</v>
      </c>
      <c r="D27" s="39">
        <v>1</v>
      </c>
      <c r="E27" s="39">
        <v>149</v>
      </c>
      <c r="F27" s="43">
        <v>40000</v>
      </c>
      <c r="G27" s="44">
        <f>Table1[[#This Row],[Trọng lượng]]*Table1[[#This Row],[Định mức]]</f>
        <v>5960000</v>
      </c>
      <c r="H27" s="45"/>
      <c r="M27" s="49" t="e">
        <f>SUM(#REF!)</f>
        <v>#REF!</v>
      </c>
      <c r="N27" s="49" t="e">
        <f>#REF!-M27</f>
        <v>#REF!</v>
      </c>
      <c r="P27" s="51" t="s">
        <v>72</v>
      </c>
    </row>
    <row r="28" spans="1:16" s="49" customFormat="1" ht="16.5" x14ac:dyDescent="0.2">
      <c r="A28" s="37">
        <v>23</v>
      </c>
      <c r="B28" s="38" t="s">
        <v>107</v>
      </c>
      <c r="C28" s="38" t="s">
        <v>203</v>
      </c>
      <c r="D28" s="39">
        <v>25</v>
      </c>
      <c r="E28" s="46">
        <v>1573</v>
      </c>
      <c r="F28" s="43">
        <v>40000</v>
      </c>
      <c r="G28" s="44">
        <f>Table1[[#This Row],[Trọng lượng]]*Table1[[#This Row],[Định mức]]</f>
        <v>62920000</v>
      </c>
      <c r="H28" s="45"/>
      <c r="J28" s="49">
        <f>63+70+72+65+65+64+54+70+71+57+56+57+59+62+51+50+67+70+71+71+55+60+68+64+61</f>
        <v>1573</v>
      </c>
      <c r="M28" s="49" t="e">
        <f>SUM(#REF!)</f>
        <v>#REF!</v>
      </c>
      <c r="N28" s="49" t="e">
        <f>#REF!-M28</f>
        <v>#REF!</v>
      </c>
      <c r="P28" s="50" t="s">
        <v>58</v>
      </c>
    </row>
    <row r="29" spans="1:16" s="49" customFormat="1" ht="16.5" x14ac:dyDescent="0.2">
      <c r="A29" s="37">
        <v>24</v>
      </c>
      <c r="B29" s="38" t="s">
        <v>108</v>
      </c>
      <c r="C29" s="38" t="s">
        <v>203</v>
      </c>
      <c r="D29" s="39">
        <v>2</v>
      </c>
      <c r="E29" s="39">
        <v>50</v>
      </c>
      <c r="F29" s="43">
        <v>40000</v>
      </c>
      <c r="G29" s="44">
        <f>Table1[[#This Row],[Trọng lượng]]*Table1[[#This Row],[Định mức]]</f>
        <v>2000000</v>
      </c>
      <c r="H29" s="40"/>
      <c r="M29" s="49" t="e">
        <f>SUM(#REF!)</f>
        <v>#REF!</v>
      </c>
      <c r="N29" s="49" t="e">
        <f>#REF!-M29</f>
        <v>#REF!</v>
      </c>
      <c r="P29" s="51" t="s">
        <v>66</v>
      </c>
    </row>
    <row r="30" spans="1:16" s="49" customFormat="1" ht="16.5" x14ac:dyDescent="0.2">
      <c r="A30" s="37">
        <v>25</v>
      </c>
      <c r="B30" s="38" t="s">
        <v>109</v>
      </c>
      <c r="C30" s="38" t="s">
        <v>203</v>
      </c>
      <c r="D30" s="39">
        <v>2</v>
      </c>
      <c r="E30" s="39">
        <v>106</v>
      </c>
      <c r="F30" s="43">
        <v>40000</v>
      </c>
      <c r="G30" s="44">
        <f>Table1[[#This Row],[Trọng lượng]]*Table1[[#This Row],[Định mức]]</f>
        <v>4240000</v>
      </c>
      <c r="H30" s="45"/>
      <c r="M30" s="49" t="e">
        <f>SUM(#REF!)</f>
        <v>#REF!</v>
      </c>
      <c r="N30" s="49" t="e">
        <f>#REF!-M30</f>
        <v>#REF!</v>
      </c>
      <c r="P30" s="50" t="s">
        <v>66</v>
      </c>
    </row>
    <row r="31" spans="1:16" s="49" customFormat="1" ht="16.5" x14ac:dyDescent="0.2">
      <c r="A31" s="37">
        <v>26</v>
      </c>
      <c r="B31" s="38" t="s">
        <v>110</v>
      </c>
      <c r="C31" s="38" t="s">
        <v>203</v>
      </c>
      <c r="D31" s="39">
        <v>12</v>
      </c>
      <c r="E31" s="39">
        <v>784</v>
      </c>
      <c r="F31" s="43">
        <v>40000</v>
      </c>
      <c r="G31" s="44">
        <f>Table1[[#This Row],[Trọng lượng]]*Table1[[#This Row],[Định mức]]</f>
        <v>31360000</v>
      </c>
      <c r="H31" s="45"/>
      <c r="J31" s="49">
        <f>67+55+61+82+65+54+72+63+67+70+66+62</f>
        <v>784</v>
      </c>
      <c r="M31" s="49" t="e">
        <f>SUM(#REF!)</f>
        <v>#REF!</v>
      </c>
      <c r="N31" s="49" t="e">
        <f>#REF!-M31</f>
        <v>#REF!</v>
      </c>
      <c r="P31" s="51" t="s">
        <v>58</v>
      </c>
    </row>
    <row r="32" spans="1:16" s="49" customFormat="1" ht="16.5" x14ac:dyDescent="0.2">
      <c r="A32" s="37">
        <v>27</v>
      </c>
      <c r="B32" s="38" t="s">
        <v>111</v>
      </c>
      <c r="C32" s="38" t="s">
        <v>203</v>
      </c>
      <c r="D32" s="39">
        <v>9</v>
      </c>
      <c r="E32" s="39">
        <v>171</v>
      </c>
      <c r="F32" s="43">
        <v>40000</v>
      </c>
      <c r="G32" s="44">
        <f>Table1[[#This Row],[Trọng lượng]]*Table1[[#This Row],[Định mức]]</f>
        <v>6840000</v>
      </c>
      <c r="H32" s="45"/>
      <c r="M32" s="49" t="e">
        <f>SUM(#REF!)</f>
        <v>#REF!</v>
      </c>
      <c r="N32" s="49" t="e">
        <f>#REF!-M32</f>
        <v>#REF!</v>
      </c>
      <c r="P32" s="50" t="s">
        <v>66</v>
      </c>
    </row>
    <row r="33" spans="1:16" s="49" customFormat="1" ht="16.5" x14ac:dyDescent="0.2">
      <c r="A33" s="37">
        <v>28</v>
      </c>
      <c r="B33" s="38" t="s">
        <v>112</v>
      </c>
      <c r="C33" s="38" t="s">
        <v>203</v>
      </c>
      <c r="D33" s="39">
        <v>20</v>
      </c>
      <c r="E33" s="46">
        <v>970</v>
      </c>
      <c r="F33" s="43">
        <v>40000</v>
      </c>
      <c r="G33" s="44">
        <f>Table1[[#This Row],[Trọng lượng]]*Table1[[#This Row],[Định mức]]</f>
        <v>38800000</v>
      </c>
      <c r="H33" s="45"/>
      <c r="J33" s="49">
        <f>132+21+25+37+38+80+78+46+50+47+46+42+43+50+39+52+50+34+30+30</f>
        <v>970</v>
      </c>
      <c r="K33" s="49">
        <f>132+21+25+37+38+80+78+46+50+47+46+42+43+50+39+52+50+34+30+30</f>
        <v>970</v>
      </c>
      <c r="L33" s="49" t="s">
        <v>82</v>
      </c>
      <c r="M33" s="49" t="e">
        <f>SUM(#REF!)</f>
        <v>#REF!</v>
      </c>
      <c r="N33" s="49" t="e">
        <f>#REF!-M33</f>
        <v>#REF!</v>
      </c>
      <c r="O33" s="49" t="e">
        <f>#REF!-J33</f>
        <v>#REF!</v>
      </c>
      <c r="P33" s="42" t="s">
        <v>58</v>
      </c>
    </row>
    <row r="34" spans="1:16" s="49" customFormat="1" ht="16.5" x14ac:dyDescent="0.2">
      <c r="A34" s="37">
        <v>29</v>
      </c>
      <c r="B34" s="38" t="s">
        <v>90</v>
      </c>
      <c r="C34" s="38" t="s">
        <v>202</v>
      </c>
      <c r="D34" s="39">
        <v>3</v>
      </c>
      <c r="E34" s="39">
        <v>45</v>
      </c>
      <c r="F34" s="43">
        <v>40000</v>
      </c>
      <c r="G34" s="44">
        <f>Table1[[#This Row],[Trọng lượng]]*Table1[[#This Row],[Định mức]]</f>
        <v>1800000</v>
      </c>
      <c r="H34" s="45"/>
      <c r="K34" s="49">
        <f>K33-132</f>
        <v>838</v>
      </c>
      <c r="M34" s="49" t="e">
        <f>SUM(#REF!)</f>
        <v>#REF!</v>
      </c>
      <c r="N34" s="49" t="e">
        <f>#REF!-M34</f>
        <v>#REF!</v>
      </c>
      <c r="P34" s="50" t="s">
        <v>65</v>
      </c>
    </row>
    <row r="35" spans="1:16" s="49" customFormat="1" ht="16.5" x14ac:dyDescent="0.2">
      <c r="A35" s="37">
        <v>30</v>
      </c>
      <c r="B35" s="38" t="s">
        <v>102</v>
      </c>
      <c r="C35" s="38" t="s">
        <v>205</v>
      </c>
      <c r="D35" s="39">
        <v>1</v>
      </c>
      <c r="E35" s="39">
        <v>82</v>
      </c>
      <c r="F35" s="43">
        <v>40000</v>
      </c>
      <c r="G35" s="44">
        <f>Table1[[#This Row],[Trọng lượng]]*Table1[[#This Row],[Định mức]]</f>
        <v>3280000</v>
      </c>
      <c r="H35" s="45"/>
      <c r="M35" s="49" t="e">
        <f>SUM(#REF!)</f>
        <v>#REF!</v>
      </c>
      <c r="N35" s="49" t="e">
        <f>#REF!-M35</f>
        <v>#REF!</v>
      </c>
      <c r="O35" s="49">
        <f>J33-132</f>
        <v>838</v>
      </c>
      <c r="P35" s="51" t="s">
        <v>61</v>
      </c>
    </row>
    <row r="36" spans="1:16" s="49" customFormat="1" ht="16.5" x14ac:dyDescent="0.2">
      <c r="A36" s="37">
        <v>31</v>
      </c>
      <c r="B36" s="38" t="s">
        <v>113</v>
      </c>
      <c r="C36" s="38" t="s">
        <v>64</v>
      </c>
      <c r="D36" s="39">
        <v>19</v>
      </c>
      <c r="E36" s="39">
        <v>838</v>
      </c>
      <c r="F36" s="43">
        <v>40000</v>
      </c>
      <c r="G36" s="44">
        <f>Table1[[#This Row],[Trọng lượng]]*Table1[[#This Row],[Định mức]]</f>
        <v>33520000</v>
      </c>
      <c r="H36" s="40"/>
      <c r="J36" s="49">
        <f>85+79+76+61+76+66+72+72+80+67+9+8+11+12+8+9+14+16+17</f>
        <v>838</v>
      </c>
      <c r="M36" s="49" t="e">
        <f>SUM(#REF!)</f>
        <v>#REF!</v>
      </c>
      <c r="N36" s="49" t="e">
        <f>#REF!-M36</f>
        <v>#REF!</v>
      </c>
      <c r="P36" s="50" t="s">
        <v>64</v>
      </c>
    </row>
    <row r="37" spans="1:16" s="49" customFormat="1" ht="16.5" x14ac:dyDescent="0.2">
      <c r="A37" s="37">
        <v>32</v>
      </c>
      <c r="B37" s="38" t="s">
        <v>114</v>
      </c>
      <c r="C37" s="38" t="s">
        <v>203</v>
      </c>
      <c r="D37" s="39">
        <v>21</v>
      </c>
      <c r="E37" s="39">
        <v>399</v>
      </c>
      <c r="F37" s="43">
        <v>40000</v>
      </c>
      <c r="G37" s="44">
        <f>Table1[[#This Row],[Trọng lượng]]*Table1[[#This Row],[Định mức]]</f>
        <v>15960000</v>
      </c>
      <c r="H37" s="45"/>
      <c r="J37" s="49">
        <f>45+45+48+50+52+47+45+47+20</f>
        <v>399</v>
      </c>
      <c r="L37" s="49" t="s">
        <v>83</v>
      </c>
      <c r="M37" s="49" t="e">
        <f>SUM(#REF!)</f>
        <v>#REF!</v>
      </c>
      <c r="N37" s="49" t="e">
        <f>#REF!-M37</f>
        <v>#REF!</v>
      </c>
      <c r="P37" s="42" t="s">
        <v>66</v>
      </c>
    </row>
    <row r="38" spans="1:16" s="49" customFormat="1" ht="16.5" x14ac:dyDescent="0.2">
      <c r="A38" s="37">
        <v>33</v>
      </c>
      <c r="B38" s="38" t="s">
        <v>110</v>
      </c>
      <c r="C38" s="38" t="s">
        <v>203</v>
      </c>
      <c r="D38" s="39">
        <v>12</v>
      </c>
      <c r="E38" s="39">
        <v>638</v>
      </c>
      <c r="F38" s="43">
        <v>40000</v>
      </c>
      <c r="G38" s="44">
        <f>Table1[[#This Row],[Trọng lượng]]*Table1[[#This Row],[Định mức]]</f>
        <v>25520000</v>
      </c>
      <c r="H38" s="45"/>
      <c r="J38" s="49">
        <f>50+55+49+56+49+46+57+60+62+58+47+49</f>
        <v>638</v>
      </c>
      <c r="M38" s="49" t="e">
        <f>SUM(#REF!)</f>
        <v>#REF!</v>
      </c>
      <c r="N38" s="49" t="e">
        <f>#REF!-M38</f>
        <v>#REF!</v>
      </c>
      <c r="P38" s="50" t="s">
        <v>58</v>
      </c>
    </row>
    <row r="39" spans="1:16" s="49" customFormat="1" ht="16.5" x14ac:dyDescent="0.2">
      <c r="A39" s="37">
        <v>34</v>
      </c>
      <c r="B39" s="38" t="s">
        <v>115</v>
      </c>
      <c r="C39" s="38" t="s">
        <v>203</v>
      </c>
      <c r="D39" s="39">
        <v>18</v>
      </c>
      <c r="E39" s="39">
        <v>790</v>
      </c>
      <c r="F39" s="43">
        <v>40000</v>
      </c>
      <c r="G39" s="44">
        <f>Table1[[#This Row],[Trọng lượng]]*Table1[[#This Row],[Định mức]]</f>
        <v>31600000</v>
      </c>
      <c r="H39" s="45"/>
      <c r="J39" s="49">
        <v>826</v>
      </c>
      <c r="K39" s="49">
        <f>142+4+5+5+5+6+7+56+55+52+57+57+54+51+58+60+59+57</f>
        <v>790</v>
      </c>
      <c r="M39" s="49" t="e">
        <f>SUM(#REF!)</f>
        <v>#REF!</v>
      </c>
      <c r="N39" s="49" t="e">
        <f>#REF!-M39</f>
        <v>#REF!</v>
      </c>
      <c r="P39" s="42" t="s">
        <v>58</v>
      </c>
    </row>
    <row r="40" spans="1:16" s="49" customFormat="1" ht="33" x14ac:dyDescent="0.2">
      <c r="A40" s="37">
        <v>35</v>
      </c>
      <c r="B40" s="38" t="s">
        <v>98</v>
      </c>
      <c r="C40" s="38" t="s">
        <v>72</v>
      </c>
      <c r="D40" s="39">
        <v>1</v>
      </c>
      <c r="E40" s="39">
        <v>82</v>
      </c>
      <c r="F40" s="43">
        <v>40000</v>
      </c>
      <c r="G40" s="44">
        <f>Table1[[#This Row],[Trọng lượng]]*Table1[[#This Row],[Định mức]]</f>
        <v>3280000</v>
      </c>
      <c r="H40" s="45"/>
      <c r="M40" s="49" t="e">
        <f>SUM(#REF!)</f>
        <v>#REF!</v>
      </c>
      <c r="N40" s="49" t="e">
        <f>#REF!-M40</f>
        <v>#REF!</v>
      </c>
      <c r="P40" s="50" t="s">
        <v>72</v>
      </c>
    </row>
    <row r="41" spans="1:16" s="49" customFormat="1" ht="16.5" x14ac:dyDescent="0.2">
      <c r="A41" s="37">
        <v>36</v>
      </c>
      <c r="B41" s="38" t="s">
        <v>104</v>
      </c>
      <c r="C41" s="38" t="s">
        <v>68</v>
      </c>
      <c r="D41" s="39">
        <v>8</v>
      </c>
      <c r="E41" s="39">
        <v>633</v>
      </c>
      <c r="F41" s="43">
        <v>40000</v>
      </c>
      <c r="G41" s="44">
        <f>Table1[[#This Row],[Trọng lượng]]*Table1[[#This Row],[Định mức]]</f>
        <v>25320000</v>
      </c>
      <c r="H41" s="45"/>
      <c r="J41" s="49">
        <f>75+70+80+82+81+81+79+85</f>
        <v>633</v>
      </c>
      <c r="L41" s="49" t="s">
        <v>82</v>
      </c>
      <c r="M41" s="49" t="e">
        <f>SUM(#REF!)</f>
        <v>#REF!</v>
      </c>
      <c r="N41" s="49" t="e">
        <f>#REF!-M41</f>
        <v>#REF!</v>
      </c>
      <c r="P41" s="42" t="s">
        <v>68</v>
      </c>
    </row>
    <row r="42" spans="1:16" s="49" customFormat="1" ht="16.5" x14ac:dyDescent="0.2">
      <c r="A42" s="52">
        <v>37</v>
      </c>
      <c r="B42" s="53" t="s">
        <v>116</v>
      </c>
      <c r="C42" s="53" t="s">
        <v>204</v>
      </c>
      <c r="D42" s="54">
        <v>1</v>
      </c>
      <c r="E42" s="54">
        <v>151</v>
      </c>
      <c r="F42" s="43">
        <v>40000</v>
      </c>
      <c r="G42" s="44">
        <f>Table1[[#This Row],[Trọng lượng]]*Table1[[#This Row],[Định mức]]</f>
        <v>6040000</v>
      </c>
      <c r="H42" s="40"/>
      <c r="M42" s="49" t="e">
        <f>SUM(#REF!)</f>
        <v>#REF!</v>
      </c>
      <c r="N42" s="49" t="e">
        <f>#REF!-M42</f>
        <v>#REF!</v>
      </c>
      <c r="P42" s="55" t="s">
        <v>70</v>
      </c>
    </row>
    <row r="43" spans="1:16" s="49" customFormat="1" ht="16.5" x14ac:dyDescent="0.2">
      <c r="A43" s="37">
        <v>38</v>
      </c>
      <c r="B43" s="38" t="s">
        <v>117</v>
      </c>
      <c r="C43" s="38" t="s">
        <v>57</v>
      </c>
      <c r="D43" s="39">
        <v>12</v>
      </c>
      <c r="E43" s="39">
        <v>804</v>
      </c>
      <c r="F43" s="43">
        <v>40000</v>
      </c>
      <c r="G43" s="44">
        <f>Table1[[#This Row],[Trọng lượng]]*Table1[[#This Row],[Định mức]]</f>
        <v>32160000</v>
      </c>
      <c r="H43" s="45"/>
      <c r="J43" s="49">
        <f>60+65+61+68+70+68+66+70+69+70+71+66</f>
        <v>804</v>
      </c>
      <c r="M43" s="49" t="e">
        <f>SUM(#REF!)</f>
        <v>#REF!</v>
      </c>
      <c r="N43" s="49" t="e">
        <f>#REF!-M43</f>
        <v>#REF!</v>
      </c>
      <c r="P43" s="51" t="s">
        <v>57</v>
      </c>
    </row>
    <row r="44" spans="1:16" s="49" customFormat="1" ht="16.5" x14ac:dyDescent="0.2">
      <c r="A44" s="37">
        <v>39</v>
      </c>
      <c r="B44" s="38" t="s">
        <v>118</v>
      </c>
      <c r="C44" s="38" t="s">
        <v>203</v>
      </c>
      <c r="D44" s="39">
        <v>3</v>
      </c>
      <c r="E44" s="39">
        <v>464</v>
      </c>
      <c r="F44" s="43">
        <v>40000</v>
      </c>
      <c r="G44" s="44">
        <f>Table1[[#This Row],[Trọng lượng]]*Table1[[#This Row],[Định mức]]</f>
        <v>18560000</v>
      </c>
      <c r="H44" s="45"/>
      <c r="J44" s="49">
        <f>167+145+152</f>
        <v>464</v>
      </c>
      <c r="M44" s="49" t="e">
        <f>SUM(#REF!)</f>
        <v>#REF!</v>
      </c>
      <c r="N44" s="49" t="e">
        <f>#REF!-M44</f>
        <v>#REF!</v>
      </c>
      <c r="P44" s="50" t="s">
        <v>58</v>
      </c>
    </row>
    <row r="45" spans="1:16" s="49" customFormat="1" ht="21" x14ac:dyDescent="0.2">
      <c r="A45" s="37">
        <v>40</v>
      </c>
      <c r="B45" s="38" t="s">
        <v>119</v>
      </c>
      <c r="C45" s="38" t="s">
        <v>204</v>
      </c>
      <c r="D45" s="39">
        <v>12</v>
      </c>
      <c r="E45" s="39">
        <v>861</v>
      </c>
      <c r="F45" s="43">
        <v>40000</v>
      </c>
      <c r="G45" s="44">
        <f>Table1[[#This Row],[Trọng lượng]]*Table1[[#This Row],[Định mức]]</f>
        <v>34440000</v>
      </c>
      <c r="H45" s="45"/>
      <c r="J45" s="49">
        <f>65+72+75+60+70+73+64+66+69+62+72+70</f>
        <v>818</v>
      </c>
      <c r="L45" s="49" t="s">
        <v>82</v>
      </c>
      <c r="M45" s="49" t="e">
        <f>SUM(#REF!)</f>
        <v>#REF!</v>
      </c>
      <c r="N45" s="49" t="e">
        <f>#REF!-M45</f>
        <v>#REF!</v>
      </c>
      <c r="O45" s="49" t="e">
        <f>#REF!-J45</f>
        <v>#REF!</v>
      </c>
      <c r="P45" s="42" t="s">
        <v>69</v>
      </c>
    </row>
    <row r="46" spans="1:16" s="49" customFormat="1" ht="16.5" x14ac:dyDescent="0.2">
      <c r="A46" s="37">
        <v>41</v>
      </c>
      <c r="B46" s="38" t="s">
        <v>120</v>
      </c>
      <c r="C46" s="38" t="s">
        <v>205</v>
      </c>
      <c r="D46" s="39">
        <v>9</v>
      </c>
      <c r="E46" s="39">
        <v>579</v>
      </c>
      <c r="F46" s="43">
        <v>40000</v>
      </c>
      <c r="G46" s="44">
        <f>Table1[[#This Row],[Trọng lượng]]*Table1[[#This Row],[Định mức]]</f>
        <v>23160000</v>
      </c>
      <c r="H46" s="45"/>
      <c r="J46" s="49">
        <f>60+68+64+54+57+72+70+69+65</f>
        <v>579</v>
      </c>
      <c r="M46" s="49" t="e">
        <f>SUM(#REF!)</f>
        <v>#REF!</v>
      </c>
      <c r="N46" s="49" t="e">
        <f>#REF!-M46</f>
        <v>#REF!</v>
      </c>
      <c r="P46" s="50" t="s">
        <v>61</v>
      </c>
    </row>
    <row r="47" spans="1:16" s="49" customFormat="1" ht="16.5" x14ac:dyDescent="0.2">
      <c r="A47" s="37">
        <v>42</v>
      </c>
      <c r="B47" s="38" t="s">
        <v>107</v>
      </c>
      <c r="C47" s="38" t="s">
        <v>203</v>
      </c>
      <c r="D47" s="39">
        <v>25</v>
      </c>
      <c r="E47" s="46">
        <v>1344</v>
      </c>
      <c r="F47" s="43">
        <v>40000</v>
      </c>
      <c r="G47" s="44">
        <f>Table1[[#This Row],[Trọng lượng]]*Table1[[#This Row],[Định mức]]</f>
        <v>53760000</v>
      </c>
      <c r="H47" s="45"/>
      <c r="J47" s="49">
        <f>48+43+59+50+52+48+47+50+61+33+60+51+59+59+60+57+58+58+62+61+62+57+58+61+30</f>
        <v>1344</v>
      </c>
      <c r="M47" s="49" t="e">
        <f>SUM(#REF!)</f>
        <v>#REF!</v>
      </c>
      <c r="N47" s="49" t="e">
        <f>#REF!-M47</f>
        <v>#REF!</v>
      </c>
      <c r="P47" s="51" t="s">
        <v>58</v>
      </c>
    </row>
    <row r="48" spans="1:16" s="49" customFormat="1" ht="16.5" x14ac:dyDescent="0.2">
      <c r="A48" s="37">
        <v>43</v>
      </c>
      <c r="B48" s="38" t="s">
        <v>115</v>
      </c>
      <c r="C48" s="38" t="s">
        <v>203</v>
      </c>
      <c r="D48" s="39">
        <v>5</v>
      </c>
      <c r="E48" s="39">
        <v>832</v>
      </c>
      <c r="F48" s="43">
        <v>40000</v>
      </c>
      <c r="G48" s="44">
        <f>Table1[[#This Row],[Trọng lượng]]*Table1[[#This Row],[Định mức]]</f>
        <v>33280000</v>
      </c>
      <c r="H48" s="45"/>
      <c r="J48" s="49">
        <f>163+184+152+161+172</f>
        <v>832</v>
      </c>
      <c r="L48" s="49" t="s">
        <v>82</v>
      </c>
      <c r="M48" s="49" t="e">
        <f>SUM(#REF!)</f>
        <v>#REF!</v>
      </c>
      <c r="N48" s="49" t="e">
        <f>#REF!-M48</f>
        <v>#REF!</v>
      </c>
      <c r="P48" s="42" t="s">
        <v>58</v>
      </c>
    </row>
    <row r="49" spans="1:16" s="49" customFormat="1" ht="16.5" x14ac:dyDescent="0.2">
      <c r="A49" s="37">
        <v>44</v>
      </c>
      <c r="B49" s="38" t="s">
        <v>121</v>
      </c>
      <c r="C49" s="38" t="s">
        <v>60</v>
      </c>
      <c r="D49" s="39">
        <v>15</v>
      </c>
      <c r="E49" s="39">
        <v>574</v>
      </c>
      <c r="F49" s="43">
        <v>40000</v>
      </c>
      <c r="G49" s="44">
        <f>Table1[[#This Row],[Trọng lượng]]*Table1[[#This Row],[Định mức]]</f>
        <v>22960000</v>
      </c>
      <c r="H49" s="45"/>
      <c r="J49" s="49">
        <f>164+25+29+20+27+30+30+24+25+26+29+37+40+31+37</f>
        <v>574</v>
      </c>
      <c r="M49" s="49" t="e">
        <f>SUM(#REF!)</f>
        <v>#REF!</v>
      </c>
      <c r="N49" s="49" t="e">
        <f>#REF!-M49</f>
        <v>#REF!</v>
      </c>
      <c r="P49" s="51" t="s">
        <v>59</v>
      </c>
    </row>
    <row r="50" spans="1:16" s="49" customFormat="1" ht="16.5" x14ac:dyDescent="0.2">
      <c r="A50" s="37">
        <v>45</v>
      </c>
      <c r="B50" s="38" t="s">
        <v>122</v>
      </c>
      <c r="C50" s="38" t="s">
        <v>64</v>
      </c>
      <c r="D50" s="39">
        <v>4</v>
      </c>
      <c r="E50" s="39">
        <v>450</v>
      </c>
      <c r="F50" s="43">
        <v>40000</v>
      </c>
      <c r="G50" s="44">
        <f>Table1[[#This Row],[Trọng lượng]]*Table1[[#This Row],[Định mức]]</f>
        <v>18000000</v>
      </c>
      <c r="H50" s="45"/>
      <c r="J50" s="49">
        <f>137+83+101+129</f>
        <v>450</v>
      </c>
      <c r="M50" s="49" t="e">
        <f>SUM(#REF!)</f>
        <v>#REF!</v>
      </c>
      <c r="N50" s="49" t="e">
        <f>#REF!-M50</f>
        <v>#REF!</v>
      </c>
      <c r="P50" s="50" t="s">
        <v>64</v>
      </c>
    </row>
    <row r="51" spans="1:16" s="49" customFormat="1" ht="16.5" x14ac:dyDescent="0.2">
      <c r="A51" s="37">
        <v>46</v>
      </c>
      <c r="B51" s="38" t="s">
        <v>110</v>
      </c>
      <c r="C51" s="38" t="s">
        <v>203</v>
      </c>
      <c r="D51" s="39">
        <v>21</v>
      </c>
      <c r="E51" s="46">
        <v>1680</v>
      </c>
      <c r="F51" s="43">
        <v>40000</v>
      </c>
      <c r="G51" s="44">
        <f>Table1[[#This Row],[Trọng lượng]]*Table1[[#This Row],[Định mức]]</f>
        <v>67200000</v>
      </c>
      <c r="H51" s="45"/>
      <c r="J51" s="49">
        <f>139+152+79+73+73+81+84+70+64+75+75+67+68+68+72+69+77+78+71+76+69</f>
        <v>1680</v>
      </c>
      <c r="M51" s="49" t="e">
        <f>SUM(#REF!)</f>
        <v>#REF!</v>
      </c>
      <c r="N51" s="49" t="e">
        <f>#REF!-M51</f>
        <v>#REF!</v>
      </c>
      <c r="P51" s="51" t="s">
        <v>58</v>
      </c>
    </row>
    <row r="52" spans="1:16" s="49" customFormat="1" ht="16.5" x14ac:dyDescent="0.2">
      <c r="A52" s="37">
        <v>47</v>
      </c>
      <c r="B52" s="38" t="s">
        <v>123</v>
      </c>
      <c r="C52" s="38" t="s">
        <v>64</v>
      </c>
      <c r="D52" s="39">
        <v>1</v>
      </c>
      <c r="E52" s="39">
        <v>35</v>
      </c>
      <c r="F52" s="43">
        <v>40000</v>
      </c>
      <c r="G52" s="44">
        <f>Table1[[#This Row],[Trọng lượng]]*Table1[[#This Row],[Định mức]]</f>
        <v>1400000</v>
      </c>
      <c r="H52" s="45"/>
      <c r="M52" s="49" t="e">
        <f>SUM(#REF!)</f>
        <v>#REF!</v>
      </c>
      <c r="N52" s="49" t="e">
        <f>#REF!-M52</f>
        <v>#REF!</v>
      </c>
      <c r="P52" s="50" t="s">
        <v>64</v>
      </c>
    </row>
    <row r="53" spans="1:16" s="49" customFormat="1" ht="16.5" x14ac:dyDescent="0.2">
      <c r="A53" s="37">
        <v>48</v>
      </c>
      <c r="B53" s="38" t="s">
        <v>124</v>
      </c>
      <c r="C53" s="38" t="s">
        <v>202</v>
      </c>
      <c r="D53" s="39">
        <v>10</v>
      </c>
      <c r="E53" s="39">
        <v>702</v>
      </c>
      <c r="F53" s="43">
        <v>40000</v>
      </c>
      <c r="G53" s="44">
        <f>Table1[[#This Row],[Trọng lượng]]*Table1[[#This Row],[Định mức]]</f>
        <v>28080000</v>
      </c>
      <c r="H53" s="45"/>
      <c r="J53" s="49">
        <f>75+78+65+69+70+71+60+66+76+72</f>
        <v>702</v>
      </c>
      <c r="M53" s="49" t="e">
        <f>SUM(#REF!)</f>
        <v>#REF!</v>
      </c>
      <c r="N53" s="49" t="e">
        <f>#REF!-M53</f>
        <v>#REF!</v>
      </c>
      <c r="P53" s="51" t="s">
        <v>65</v>
      </c>
    </row>
    <row r="54" spans="1:16" s="49" customFormat="1" ht="16.5" x14ac:dyDescent="0.2">
      <c r="A54" s="37">
        <v>49</v>
      </c>
      <c r="B54" s="38" t="s">
        <v>106</v>
      </c>
      <c r="C54" s="38" t="s">
        <v>72</v>
      </c>
      <c r="D54" s="39">
        <v>1</v>
      </c>
      <c r="E54" s="39">
        <v>127</v>
      </c>
      <c r="F54" s="43">
        <v>40000</v>
      </c>
      <c r="G54" s="44">
        <f>Table1[[#This Row],[Trọng lượng]]*Table1[[#This Row],[Định mức]]</f>
        <v>5080000</v>
      </c>
      <c r="H54" s="45"/>
      <c r="M54" s="49" t="e">
        <f>SUM(#REF!)</f>
        <v>#REF!</v>
      </c>
      <c r="N54" s="49" t="e">
        <f>#REF!-M54</f>
        <v>#REF!</v>
      </c>
      <c r="P54" s="50" t="s">
        <v>72</v>
      </c>
    </row>
    <row r="55" spans="1:16" s="49" customFormat="1" ht="16.5" x14ac:dyDescent="0.2">
      <c r="A55" s="37">
        <v>50</v>
      </c>
      <c r="B55" s="38" t="s">
        <v>125</v>
      </c>
      <c r="C55" s="38" t="s">
        <v>64</v>
      </c>
      <c r="D55" s="39">
        <v>18</v>
      </c>
      <c r="E55" s="46">
        <v>1026</v>
      </c>
      <c r="F55" s="43">
        <v>40000</v>
      </c>
      <c r="G55" s="44">
        <f>Table1[[#This Row],[Trọng lượng]]*Table1[[#This Row],[Định mức]]</f>
        <v>41040000</v>
      </c>
      <c r="H55" s="45"/>
      <c r="J55" s="49">
        <f>96+117+124+31+38+39+42+50+48+48+45+45+47+52+55+48+50+51</f>
        <v>1026</v>
      </c>
      <c r="M55" s="49" t="e">
        <f>SUM(#REF!)</f>
        <v>#REF!</v>
      </c>
      <c r="N55" s="49" t="e">
        <f>#REF!-M55</f>
        <v>#REF!</v>
      </c>
      <c r="P55" s="42" t="s">
        <v>64</v>
      </c>
    </row>
    <row r="56" spans="1:16" s="49" customFormat="1" ht="16.5" x14ac:dyDescent="0.2">
      <c r="A56" s="37">
        <v>51</v>
      </c>
      <c r="B56" s="38" t="s">
        <v>126</v>
      </c>
      <c r="C56" s="38" t="s">
        <v>204</v>
      </c>
      <c r="D56" s="39">
        <v>2</v>
      </c>
      <c r="E56" s="39">
        <v>264</v>
      </c>
      <c r="F56" s="43">
        <v>40000</v>
      </c>
      <c r="G56" s="44">
        <f>Table1[[#This Row],[Trọng lượng]]*Table1[[#This Row],[Định mức]]</f>
        <v>10560000</v>
      </c>
      <c r="H56" s="45"/>
      <c r="M56" s="49" t="e">
        <f>SUM(#REF!)</f>
        <v>#REF!</v>
      </c>
      <c r="N56" s="49" t="e">
        <f>#REF!-M56</f>
        <v>#REF!</v>
      </c>
      <c r="P56" s="50" t="s">
        <v>70</v>
      </c>
    </row>
    <row r="57" spans="1:16" s="49" customFormat="1" ht="16.5" x14ac:dyDescent="0.2">
      <c r="A57" s="37">
        <v>52</v>
      </c>
      <c r="B57" s="38" t="s">
        <v>123</v>
      </c>
      <c r="C57" s="38" t="s">
        <v>64</v>
      </c>
      <c r="D57" s="39">
        <v>9</v>
      </c>
      <c r="E57" s="39">
        <v>434</v>
      </c>
      <c r="F57" s="43">
        <v>40000</v>
      </c>
      <c r="G57" s="44">
        <f>Table1[[#This Row],[Trọng lượng]]*Table1[[#This Row],[Định mức]]</f>
        <v>17360000</v>
      </c>
      <c r="H57" s="45"/>
      <c r="J57" s="49">
        <f>41+48+55+36+53+50+49+49+53</f>
        <v>434</v>
      </c>
      <c r="M57" s="49" t="e">
        <f>SUM(#REF!)</f>
        <v>#REF!</v>
      </c>
      <c r="N57" s="49" t="e">
        <f>#REF!-M57</f>
        <v>#REF!</v>
      </c>
      <c r="P57" s="51" t="s">
        <v>64</v>
      </c>
    </row>
    <row r="58" spans="1:16" s="49" customFormat="1" ht="16.5" x14ac:dyDescent="0.2">
      <c r="A58" s="37">
        <v>53</v>
      </c>
      <c r="B58" s="38" t="s">
        <v>127</v>
      </c>
      <c r="C58" s="38" t="s">
        <v>205</v>
      </c>
      <c r="D58" s="39">
        <v>3</v>
      </c>
      <c r="E58" s="39">
        <v>321</v>
      </c>
      <c r="F58" s="43">
        <v>40000</v>
      </c>
      <c r="G58" s="44">
        <f>Table1[[#This Row],[Trọng lượng]]*Table1[[#This Row],[Định mức]]</f>
        <v>12840000</v>
      </c>
      <c r="H58" s="45"/>
      <c r="M58" s="49" t="e">
        <f>SUM(#REF!)</f>
        <v>#REF!</v>
      </c>
      <c r="N58" s="49" t="e">
        <f>#REF!-M58</f>
        <v>#REF!</v>
      </c>
      <c r="P58" s="50" t="s">
        <v>61</v>
      </c>
    </row>
    <row r="59" spans="1:16" s="49" customFormat="1" ht="16.5" x14ac:dyDescent="0.2">
      <c r="A59" s="37">
        <v>54</v>
      </c>
      <c r="B59" s="38" t="s">
        <v>128</v>
      </c>
      <c r="C59" s="38" t="s">
        <v>60</v>
      </c>
      <c r="D59" s="39">
        <v>9</v>
      </c>
      <c r="E59" s="39">
        <v>706</v>
      </c>
      <c r="F59" s="43">
        <v>40000</v>
      </c>
      <c r="G59" s="44">
        <f>Table1[[#This Row],[Trọng lượng]]*Table1[[#This Row],[Định mức]]</f>
        <v>28240000</v>
      </c>
      <c r="H59" s="45"/>
      <c r="J59" s="49">
        <f>83+75+76+80+80+79+76+77+80</f>
        <v>706</v>
      </c>
      <c r="M59" s="49" t="e">
        <f>SUM(#REF!)</f>
        <v>#REF!</v>
      </c>
      <c r="N59" s="49" t="e">
        <f>#REF!-M59</f>
        <v>#REF!</v>
      </c>
      <c r="P59" s="51" t="s">
        <v>59</v>
      </c>
    </row>
    <row r="60" spans="1:16" s="49" customFormat="1" ht="16.5" x14ac:dyDescent="0.2">
      <c r="A60" s="37">
        <v>55</v>
      </c>
      <c r="B60" s="38" t="s">
        <v>129</v>
      </c>
      <c r="C60" s="38" t="s">
        <v>206</v>
      </c>
      <c r="D60" s="39">
        <v>51</v>
      </c>
      <c r="E60" s="47">
        <v>2320.1999999999998</v>
      </c>
      <c r="F60" s="43">
        <v>40000</v>
      </c>
      <c r="G60" s="44">
        <f>Table1[[#This Row],[Trọng lượng]]*Table1[[#This Row],[Định mức]]</f>
        <v>92808000</v>
      </c>
      <c r="H60" s="45"/>
      <c r="J60" s="49">
        <f>165+168+152+171+150+181+166+4+3.5+4+3.8+4.2+4.5+5+4+5.1+4.3+4.1+4.4+11.2+10.1+10.3+11+70.2+70.1+66.2+65.9+63.4+67.1+67+30.2+30.2+30.5+29.7+29.6+30.4+30.5+29+31+28.4+26.6+27.9+27.8+25.5+29.7+24.8+32.1+27+28.6+29+26.3</f>
        <v>2321.2000000000003</v>
      </c>
      <c r="M60" s="49" t="e">
        <f>SUM(#REF!)</f>
        <v>#REF!</v>
      </c>
      <c r="N60" s="49" t="e">
        <f>#REF!-M60</f>
        <v>#REF!</v>
      </c>
      <c r="P60" s="42" t="s">
        <v>71</v>
      </c>
    </row>
    <row r="61" spans="1:16" s="49" customFormat="1" ht="16.5" x14ac:dyDescent="0.2">
      <c r="A61" s="37">
        <v>56</v>
      </c>
      <c r="B61" s="38" t="s">
        <v>130</v>
      </c>
      <c r="C61" s="38" t="s">
        <v>203</v>
      </c>
      <c r="D61" s="39">
        <v>41</v>
      </c>
      <c r="E61" s="46">
        <v>2221</v>
      </c>
      <c r="F61" s="43">
        <v>40000</v>
      </c>
      <c r="G61" s="44">
        <f>Table1[[#This Row],[Trọng lượng]]*Table1[[#This Row],[Định mức]]</f>
        <v>88840000</v>
      </c>
      <c r="H61" s="45"/>
      <c r="J61" s="49">
        <f>32+33+24+25+27+28+30+16+23+29+31+30+23+25+110+109+105+92+81+87+96+91+81+88+101+107+97+112+108+25+15+19+30+25+37+30+36+40+45+38+40</f>
        <v>2221</v>
      </c>
      <c r="M61" s="49" t="e">
        <f>SUM(#REF!)</f>
        <v>#REF!</v>
      </c>
      <c r="N61" s="49" t="e">
        <f>#REF!-M61</f>
        <v>#REF!</v>
      </c>
      <c r="P61" s="51" t="s">
        <v>66</v>
      </c>
    </row>
    <row r="62" spans="1:16" s="49" customFormat="1" ht="16.5" x14ac:dyDescent="0.2">
      <c r="A62" s="37">
        <v>57</v>
      </c>
      <c r="B62" s="38" t="s">
        <v>117</v>
      </c>
      <c r="C62" s="38" t="s">
        <v>57</v>
      </c>
      <c r="D62" s="39">
        <v>10</v>
      </c>
      <c r="E62" s="39">
        <v>413</v>
      </c>
      <c r="F62" s="43">
        <v>40000</v>
      </c>
      <c r="G62" s="44">
        <f>Table1[[#This Row],[Trọng lượng]]*Table1[[#This Row],[Định mức]]</f>
        <v>16520000</v>
      </c>
      <c r="H62" s="45"/>
      <c r="M62" s="49" t="e">
        <f>SUM(#REF!)</f>
        <v>#REF!</v>
      </c>
      <c r="N62" s="49" t="e">
        <f>#REF!-M62</f>
        <v>#REF!</v>
      </c>
      <c r="P62" s="50" t="s">
        <v>57</v>
      </c>
    </row>
    <row r="63" spans="1:16" s="49" customFormat="1" ht="16.5" x14ac:dyDescent="0.2">
      <c r="A63" s="37">
        <v>58</v>
      </c>
      <c r="B63" s="38" t="s">
        <v>131</v>
      </c>
      <c r="C63" s="38" t="s">
        <v>206</v>
      </c>
      <c r="D63" s="39">
        <v>47</v>
      </c>
      <c r="E63" s="46">
        <v>1158</v>
      </c>
      <c r="F63" s="43">
        <v>40000</v>
      </c>
      <c r="G63" s="44">
        <f>Table1[[#This Row],[Trọng lượng]]*Table1[[#This Row],[Định mức]]</f>
        <v>46320000</v>
      </c>
      <c r="H63" s="45"/>
      <c r="J63" s="49">
        <f>35+36+38+28+30+30+27+30+24+25+31+35+34+39+40+28+37+30+29+25+31+30+25+27+15+20+19+14+21+17+17+20+18+16+18+21+22+21+21+17+19+19+14+16+19+18+12</f>
        <v>1158</v>
      </c>
      <c r="M63" s="49" t="e">
        <f>SUM(#REF!)</f>
        <v>#REF!</v>
      </c>
      <c r="N63" s="49" t="e">
        <f>#REF!-M63</f>
        <v>#REF!</v>
      </c>
      <c r="P63" s="51" t="s">
        <v>71</v>
      </c>
    </row>
    <row r="64" spans="1:16" s="49" customFormat="1" ht="16.5" x14ac:dyDescent="0.2">
      <c r="A64" s="37">
        <v>59</v>
      </c>
      <c r="B64" s="38" t="s">
        <v>132</v>
      </c>
      <c r="C64" s="38" t="s">
        <v>205</v>
      </c>
      <c r="D64" s="39">
        <v>1</v>
      </c>
      <c r="E64" s="39">
        <v>107</v>
      </c>
      <c r="F64" s="43">
        <v>40000</v>
      </c>
      <c r="G64" s="44">
        <f>Table1[[#This Row],[Trọng lượng]]*Table1[[#This Row],[Định mức]]</f>
        <v>4280000</v>
      </c>
      <c r="H64" s="45"/>
      <c r="M64" s="49" t="e">
        <f>SUM(#REF!)</f>
        <v>#REF!</v>
      </c>
      <c r="N64" s="49" t="e">
        <f>#REF!-M64</f>
        <v>#REF!</v>
      </c>
      <c r="P64" s="50" t="s">
        <v>61</v>
      </c>
    </row>
    <row r="65" spans="1:22" s="49" customFormat="1" ht="16.5" x14ac:dyDescent="0.2">
      <c r="A65" s="37">
        <v>60</v>
      </c>
      <c r="B65" s="38" t="s">
        <v>133</v>
      </c>
      <c r="C65" s="38" t="s">
        <v>57</v>
      </c>
      <c r="D65" s="39">
        <v>1</v>
      </c>
      <c r="E65" s="39">
        <v>41</v>
      </c>
      <c r="F65" s="43">
        <v>40000</v>
      </c>
      <c r="G65" s="44">
        <f>Table1[[#This Row],[Trọng lượng]]*Table1[[#This Row],[Định mức]]</f>
        <v>1640000</v>
      </c>
      <c r="H65" s="45"/>
      <c r="M65" s="49" t="e">
        <f>SUM(#REF!)</f>
        <v>#REF!</v>
      </c>
      <c r="N65" s="49" t="e">
        <f>#REF!-M65</f>
        <v>#REF!</v>
      </c>
      <c r="P65" s="51" t="s">
        <v>57</v>
      </c>
    </row>
    <row r="66" spans="1:22" s="49" customFormat="1" ht="16.5" x14ac:dyDescent="0.2">
      <c r="A66" s="37">
        <v>61</v>
      </c>
      <c r="B66" s="38" t="s">
        <v>134</v>
      </c>
      <c r="C66" s="38" t="s">
        <v>202</v>
      </c>
      <c r="D66" s="39">
        <v>1</v>
      </c>
      <c r="E66" s="39">
        <v>138</v>
      </c>
      <c r="F66" s="43">
        <v>40000</v>
      </c>
      <c r="G66" s="44">
        <f>Table1[[#This Row],[Trọng lượng]]*Table1[[#This Row],[Định mức]]</f>
        <v>5520000</v>
      </c>
      <c r="H66" s="45"/>
      <c r="M66" s="49" t="e">
        <f>SUM(#REF!)</f>
        <v>#REF!</v>
      </c>
      <c r="N66" s="49" t="e">
        <f>#REF!-M66</f>
        <v>#REF!</v>
      </c>
      <c r="P66" s="50" t="s">
        <v>65</v>
      </c>
      <c r="V66" s="56">
        <f>G7+G34</f>
        <v>36400000</v>
      </c>
    </row>
    <row r="67" spans="1:22" s="49" customFormat="1" ht="16.5" x14ac:dyDescent="0.2">
      <c r="A67" s="37">
        <v>62</v>
      </c>
      <c r="B67" s="38" t="s">
        <v>132</v>
      </c>
      <c r="C67" s="38" t="s">
        <v>205</v>
      </c>
      <c r="D67" s="39">
        <v>1</v>
      </c>
      <c r="E67" s="39">
        <v>45</v>
      </c>
      <c r="F67" s="43">
        <v>40000</v>
      </c>
      <c r="G67" s="44">
        <f>Table1[[#This Row],[Trọng lượng]]*Table1[[#This Row],[Định mức]]</f>
        <v>1800000</v>
      </c>
      <c r="H67" s="40"/>
      <c r="M67" s="49" t="e">
        <f>SUM(#REF!)</f>
        <v>#REF!</v>
      </c>
      <c r="N67" s="49" t="e">
        <f>#REF!-M67</f>
        <v>#REF!</v>
      </c>
      <c r="P67" s="51" t="s">
        <v>61</v>
      </c>
    </row>
    <row r="68" spans="1:22" s="49" customFormat="1" ht="16.5" x14ac:dyDescent="0.2">
      <c r="A68" s="37">
        <v>63</v>
      </c>
      <c r="B68" s="38" t="s">
        <v>135</v>
      </c>
      <c r="C68" s="38" t="s">
        <v>205</v>
      </c>
      <c r="D68" s="39">
        <v>1</v>
      </c>
      <c r="E68" s="39">
        <v>98</v>
      </c>
      <c r="F68" s="43">
        <v>40000</v>
      </c>
      <c r="G68" s="44">
        <f>Table1[[#This Row],[Trọng lượng]]*Table1[[#This Row],[Định mức]]</f>
        <v>3920000</v>
      </c>
      <c r="H68" s="45"/>
      <c r="M68" s="49" t="e">
        <f>SUM(#REF!)</f>
        <v>#REF!</v>
      </c>
      <c r="N68" s="49" t="e">
        <f>#REF!-M68</f>
        <v>#REF!</v>
      </c>
      <c r="P68" s="50" t="s">
        <v>61</v>
      </c>
    </row>
    <row r="69" spans="1:22" s="49" customFormat="1" ht="16.5" x14ac:dyDescent="0.2">
      <c r="A69" s="37">
        <v>64</v>
      </c>
      <c r="B69" s="38" t="s">
        <v>136</v>
      </c>
      <c r="C69" s="38" t="s">
        <v>205</v>
      </c>
      <c r="D69" s="39">
        <v>2</v>
      </c>
      <c r="E69" s="39">
        <v>93</v>
      </c>
      <c r="F69" s="43">
        <v>40000</v>
      </c>
      <c r="G69" s="44">
        <f>Table1[[#This Row],[Trọng lượng]]*Table1[[#This Row],[Định mức]]</f>
        <v>3720000</v>
      </c>
      <c r="H69" s="45"/>
      <c r="M69" s="49" t="e">
        <f>SUM(#REF!)</f>
        <v>#REF!</v>
      </c>
      <c r="N69" s="49" t="e">
        <f>#REF!-M69</f>
        <v>#REF!</v>
      </c>
      <c r="P69" s="51" t="s">
        <v>61</v>
      </c>
    </row>
    <row r="70" spans="1:22" s="49" customFormat="1" ht="21" x14ac:dyDescent="0.2">
      <c r="A70" s="37">
        <v>65</v>
      </c>
      <c r="B70" s="38" t="s">
        <v>137</v>
      </c>
      <c r="C70" s="38" t="s">
        <v>204</v>
      </c>
      <c r="D70" s="39">
        <v>3</v>
      </c>
      <c r="E70" s="39">
        <v>208</v>
      </c>
      <c r="F70" s="43">
        <v>40000</v>
      </c>
      <c r="G70" s="44">
        <f>Table1[[#This Row],[Trọng lượng]]*Table1[[#This Row],[Định mức]]</f>
        <v>8320000</v>
      </c>
      <c r="H70" s="45"/>
      <c r="J70" s="49">
        <f>82+59+67</f>
        <v>208</v>
      </c>
      <c r="M70" s="49" t="e">
        <f>SUM(#REF!)</f>
        <v>#REF!</v>
      </c>
      <c r="N70" s="49" t="e">
        <f>#REF!-M70</f>
        <v>#REF!</v>
      </c>
      <c r="P70" s="50" t="s">
        <v>69</v>
      </c>
    </row>
    <row r="71" spans="1:22" s="49" customFormat="1" ht="16.5" x14ac:dyDescent="0.2">
      <c r="A71" s="37">
        <v>66</v>
      </c>
      <c r="B71" s="38" t="s">
        <v>135</v>
      </c>
      <c r="C71" s="38" t="s">
        <v>205</v>
      </c>
      <c r="D71" s="39">
        <v>1</v>
      </c>
      <c r="E71" s="39">
        <v>52</v>
      </c>
      <c r="F71" s="43">
        <v>40000</v>
      </c>
      <c r="G71" s="44">
        <f>Table1[[#This Row],[Trọng lượng]]*Table1[[#This Row],[Định mức]]</f>
        <v>2080000</v>
      </c>
      <c r="H71" s="45"/>
      <c r="M71" s="49" t="e">
        <f>SUM(#REF!)</f>
        <v>#REF!</v>
      </c>
      <c r="N71" s="49" t="e">
        <f>#REF!-M71</f>
        <v>#REF!</v>
      </c>
      <c r="P71" s="51" t="s">
        <v>61</v>
      </c>
    </row>
    <row r="72" spans="1:22" s="49" customFormat="1" ht="16.5" x14ac:dyDescent="0.2">
      <c r="A72" s="37">
        <v>67</v>
      </c>
      <c r="B72" s="38" t="s">
        <v>138</v>
      </c>
      <c r="C72" s="38" t="s">
        <v>202</v>
      </c>
      <c r="D72" s="39">
        <v>2</v>
      </c>
      <c r="E72" s="39">
        <v>286</v>
      </c>
      <c r="F72" s="43">
        <v>40000</v>
      </c>
      <c r="G72" s="44">
        <f>Table1[[#This Row],[Trọng lượng]]*Table1[[#This Row],[Định mức]]</f>
        <v>11440000</v>
      </c>
      <c r="H72" s="45"/>
      <c r="J72" s="49">
        <f>149+137</f>
        <v>286</v>
      </c>
      <c r="M72" s="49" t="e">
        <f>SUM(#REF!)</f>
        <v>#REF!</v>
      </c>
      <c r="N72" s="49" t="e">
        <f>#REF!-M72</f>
        <v>#REF!</v>
      </c>
      <c r="P72" s="50" t="s">
        <v>65</v>
      </c>
    </row>
    <row r="73" spans="1:22" s="49" customFormat="1" ht="16.5" x14ac:dyDescent="0.2">
      <c r="A73" s="37">
        <v>68</v>
      </c>
      <c r="B73" s="38" t="s">
        <v>139</v>
      </c>
      <c r="C73" s="38" t="s">
        <v>60</v>
      </c>
      <c r="D73" s="39">
        <v>1</v>
      </c>
      <c r="E73" s="39">
        <v>150</v>
      </c>
      <c r="F73" s="43">
        <v>40000</v>
      </c>
      <c r="G73" s="44">
        <f>Table1[[#This Row],[Trọng lượng]]*Table1[[#This Row],[Định mức]]</f>
        <v>6000000</v>
      </c>
      <c r="H73" s="45"/>
      <c r="M73" s="49" t="e">
        <f>SUM(#REF!)</f>
        <v>#REF!</v>
      </c>
      <c r="N73" s="49" t="e">
        <f>#REF!-M73</f>
        <v>#REF!</v>
      </c>
      <c r="P73" s="51" t="s">
        <v>59</v>
      </c>
    </row>
    <row r="74" spans="1:22" s="49" customFormat="1" ht="16.5" x14ac:dyDescent="0.2">
      <c r="A74" s="37">
        <v>69</v>
      </c>
      <c r="B74" s="38" t="s">
        <v>140</v>
      </c>
      <c r="C74" s="38" t="s">
        <v>64</v>
      </c>
      <c r="D74" s="39">
        <v>11</v>
      </c>
      <c r="E74" s="39">
        <v>651</v>
      </c>
      <c r="F74" s="43">
        <v>40000</v>
      </c>
      <c r="G74" s="44">
        <f>Table1[[#This Row],[Trọng lượng]]*Table1[[#This Row],[Định mức]]</f>
        <v>26040000</v>
      </c>
      <c r="H74" s="45"/>
      <c r="J74" s="49">
        <f>16+61+69+68+55+59+65+68+63+67+60</f>
        <v>651</v>
      </c>
      <c r="M74" s="49" t="e">
        <f>SUM(#REF!)</f>
        <v>#REF!</v>
      </c>
      <c r="N74" s="49" t="e">
        <f>#REF!-M74</f>
        <v>#REF!</v>
      </c>
      <c r="P74" s="50" t="s">
        <v>64</v>
      </c>
    </row>
    <row r="75" spans="1:22" s="49" customFormat="1" ht="16.5" x14ac:dyDescent="0.2">
      <c r="A75" s="37">
        <v>70</v>
      </c>
      <c r="B75" s="38" t="s">
        <v>141</v>
      </c>
      <c r="C75" s="38" t="s">
        <v>62</v>
      </c>
      <c r="D75" s="39">
        <v>2</v>
      </c>
      <c r="E75" s="39">
        <v>290</v>
      </c>
      <c r="F75" s="43">
        <v>40000</v>
      </c>
      <c r="G75" s="44">
        <f>Table1[[#This Row],[Trọng lượng]]*Table1[[#This Row],[Định mức]]</f>
        <v>11600000</v>
      </c>
      <c r="H75" s="45"/>
      <c r="M75" s="49" t="e">
        <f>SUM(#REF!)</f>
        <v>#REF!</v>
      </c>
      <c r="N75" s="49" t="e">
        <f>#REF!-M75</f>
        <v>#REF!</v>
      </c>
      <c r="P75" s="51" t="s">
        <v>62</v>
      </c>
    </row>
    <row r="76" spans="1:22" s="49" customFormat="1" ht="16.5" x14ac:dyDescent="0.2">
      <c r="A76" s="37">
        <v>71</v>
      </c>
      <c r="B76" s="38" t="s">
        <v>142</v>
      </c>
      <c r="C76" s="38" t="s">
        <v>63</v>
      </c>
      <c r="D76" s="39">
        <v>1</v>
      </c>
      <c r="E76" s="39">
        <v>143</v>
      </c>
      <c r="F76" s="43">
        <v>40000</v>
      </c>
      <c r="G76" s="44">
        <f>Table1[[#This Row],[Trọng lượng]]*Table1[[#This Row],[Định mức]]</f>
        <v>5720000</v>
      </c>
      <c r="H76" s="45"/>
      <c r="M76" s="49" t="e">
        <f>SUM(#REF!)</f>
        <v>#REF!</v>
      </c>
      <c r="N76" s="49" t="e">
        <f>#REF!-M76</f>
        <v>#REF!</v>
      </c>
      <c r="P76" s="50" t="s">
        <v>63</v>
      </c>
    </row>
    <row r="77" spans="1:22" s="49" customFormat="1" ht="16.5" x14ac:dyDescent="0.2">
      <c r="A77" s="37">
        <v>72</v>
      </c>
      <c r="B77" s="38" t="s">
        <v>143</v>
      </c>
      <c r="C77" s="38" t="s">
        <v>68</v>
      </c>
      <c r="D77" s="39">
        <v>3</v>
      </c>
      <c r="E77" s="39">
        <v>294</v>
      </c>
      <c r="F77" s="43">
        <v>40000</v>
      </c>
      <c r="G77" s="44">
        <f>Table1[[#This Row],[Trọng lượng]]*Table1[[#This Row],[Định mức]]</f>
        <v>11760000</v>
      </c>
      <c r="H77" s="45"/>
      <c r="M77" s="49" t="e">
        <f>SUM(#REF!)</f>
        <v>#REF!</v>
      </c>
      <c r="N77" s="49" t="e">
        <f>#REF!-M77</f>
        <v>#REF!</v>
      </c>
      <c r="P77" s="51" t="s">
        <v>68</v>
      </c>
    </row>
    <row r="78" spans="1:22" s="49" customFormat="1" ht="16.5" x14ac:dyDescent="0.2">
      <c r="A78" s="37">
        <v>73</v>
      </c>
      <c r="B78" s="38" t="s">
        <v>139</v>
      </c>
      <c r="C78" s="38" t="s">
        <v>60</v>
      </c>
      <c r="D78" s="39">
        <v>3</v>
      </c>
      <c r="E78" s="39">
        <v>413</v>
      </c>
      <c r="F78" s="43">
        <v>40000</v>
      </c>
      <c r="G78" s="44">
        <f>Table1[[#This Row],[Trọng lượng]]*Table1[[#This Row],[Định mức]]</f>
        <v>16520000</v>
      </c>
      <c r="H78" s="45"/>
      <c r="M78" s="49" t="e">
        <f>SUM(#REF!)</f>
        <v>#REF!</v>
      </c>
      <c r="N78" s="49" t="e">
        <f>#REF!-M78</f>
        <v>#REF!</v>
      </c>
      <c r="P78" s="50" t="s">
        <v>214</v>
      </c>
    </row>
    <row r="79" spans="1:22" s="49" customFormat="1" ht="16.5" x14ac:dyDescent="0.2">
      <c r="A79" s="37">
        <v>74</v>
      </c>
      <c r="B79" s="38" t="s">
        <v>144</v>
      </c>
      <c r="C79" s="38" t="s">
        <v>64</v>
      </c>
      <c r="D79" s="39">
        <v>1</v>
      </c>
      <c r="E79" s="39">
        <v>136</v>
      </c>
      <c r="F79" s="43">
        <v>40000</v>
      </c>
      <c r="G79" s="44">
        <f>Table1[[#This Row],[Trọng lượng]]*Table1[[#This Row],[Định mức]]</f>
        <v>5440000</v>
      </c>
      <c r="H79" s="45"/>
      <c r="M79" s="49" t="e">
        <f>SUM(#REF!)</f>
        <v>#REF!</v>
      </c>
      <c r="N79" s="49" t="e">
        <f>#REF!-M79</f>
        <v>#REF!</v>
      </c>
      <c r="P79" s="51" t="s">
        <v>64</v>
      </c>
    </row>
    <row r="80" spans="1:22" s="49" customFormat="1" ht="16.5" x14ac:dyDescent="0.2">
      <c r="A80" s="37">
        <v>75</v>
      </c>
      <c r="B80" s="38" t="s">
        <v>145</v>
      </c>
      <c r="C80" s="38" t="s">
        <v>206</v>
      </c>
      <c r="D80" s="39">
        <v>14</v>
      </c>
      <c r="E80" s="39">
        <v>870</v>
      </c>
      <c r="F80" s="43">
        <v>40000</v>
      </c>
      <c r="G80" s="44">
        <f>Table1[[#This Row],[Trọng lượng]]*Table1[[#This Row],[Định mức]]</f>
        <v>34800000</v>
      </c>
      <c r="H80" s="45"/>
      <c r="J80" s="49">
        <f>38+45+70+72+69+61+69+65+54+58+65+70+66+68</f>
        <v>870</v>
      </c>
      <c r="M80" s="49" t="e">
        <f>SUM(#REF!)</f>
        <v>#REF!</v>
      </c>
      <c r="N80" s="49" t="e">
        <f>#REF!-M80</f>
        <v>#REF!</v>
      </c>
      <c r="P80" s="50" t="s">
        <v>71</v>
      </c>
    </row>
    <row r="81" spans="1:16" s="49" customFormat="1" ht="16.5" x14ac:dyDescent="0.2">
      <c r="A81" s="37">
        <v>76</v>
      </c>
      <c r="B81" s="38" t="s">
        <v>146</v>
      </c>
      <c r="C81" s="38" t="s">
        <v>64</v>
      </c>
      <c r="D81" s="39">
        <v>4</v>
      </c>
      <c r="E81" s="39">
        <v>164</v>
      </c>
      <c r="F81" s="43">
        <v>40000</v>
      </c>
      <c r="G81" s="44">
        <f>Table1[[#This Row],[Trọng lượng]]*Table1[[#This Row],[Định mức]]</f>
        <v>6560000</v>
      </c>
      <c r="H81" s="45"/>
      <c r="M81" s="49" t="e">
        <f>SUM(#REF!)</f>
        <v>#REF!</v>
      </c>
      <c r="N81" s="49" t="e">
        <f>#REF!-M81</f>
        <v>#REF!</v>
      </c>
      <c r="P81" s="51" t="s">
        <v>64</v>
      </c>
    </row>
    <row r="82" spans="1:16" s="49" customFormat="1" ht="16.5" x14ac:dyDescent="0.2">
      <c r="A82" s="37">
        <v>77</v>
      </c>
      <c r="B82" s="38" t="s">
        <v>147</v>
      </c>
      <c r="C82" s="38" t="s">
        <v>206</v>
      </c>
      <c r="D82" s="39">
        <v>2</v>
      </c>
      <c r="E82" s="39">
        <v>350</v>
      </c>
      <c r="F82" s="43">
        <v>40000</v>
      </c>
      <c r="G82" s="44">
        <f>Table1[[#This Row],[Trọng lượng]]*Table1[[#This Row],[Định mức]]</f>
        <v>14000000</v>
      </c>
      <c r="H82" s="45"/>
      <c r="M82" s="49" t="e">
        <f>SUM(#REF!)</f>
        <v>#REF!</v>
      </c>
      <c r="N82" s="49" t="e">
        <f>#REF!-M82</f>
        <v>#REF!</v>
      </c>
      <c r="P82" s="50" t="s">
        <v>71</v>
      </c>
    </row>
    <row r="83" spans="1:16" s="49" customFormat="1" ht="16.5" x14ac:dyDescent="0.2">
      <c r="A83" s="37">
        <v>78</v>
      </c>
      <c r="B83" s="38" t="s">
        <v>148</v>
      </c>
      <c r="C83" s="38" t="s">
        <v>206</v>
      </c>
      <c r="D83" s="39">
        <v>4</v>
      </c>
      <c r="E83" s="39">
        <v>390</v>
      </c>
      <c r="F83" s="43">
        <v>40000</v>
      </c>
      <c r="G83" s="44">
        <f>Table1[[#This Row],[Trọng lượng]]*Table1[[#This Row],[Định mức]]</f>
        <v>15600000</v>
      </c>
      <c r="H83" s="45"/>
      <c r="M83" s="49" t="e">
        <f>SUM(#REF!)</f>
        <v>#REF!</v>
      </c>
      <c r="N83" s="49" t="e">
        <f>#REF!-M83</f>
        <v>#REF!</v>
      </c>
      <c r="P83" s="51" t="s">
        <v>71</v>
      </c>
    </row>
    <row r="84" spans="1:16" s="49" customFormat="1" ht="16.5" x14ac:dyDescent="0.2">
      <c r="A84" s="37">
        <v>79</v>
      </c>
      <c r="B84" s="38" t="s">
        <v>144</v>
      </c>
      <c r="C84" s="38" t="s">
        <v>64</v>
      </c>
      <c r="D84" s="39">
        <v>11</v>
      </c>
      <c r="E84" s="39">
        <v>769</v>
      </c>
      <c r="F84" s="43">
        <v>40000</v>
      </c>
      <c r="G84" s="44">
        <f>Table1[[#This Row],[Trọng lượng]]*Table1[[#This Row],[Định mức]]</f>
        <v>30760000</v>
      </c>
      <c r="H84" s="45"/>
      <c r="J84" s="49">
        <f>138+156+56+51+60+48+50+57+41+49+63</f>
        <v>769</v>
      </c>
      <c r="M84" s="49" t="e">
        <f>SUM(#REF!)</f>
        <v>#REF!</v>
      </c>
      <c r="N84" s="49" t="e">
        <f>#REF!-M84</f>
        <v>#REF!</v>
      </c>
      <c r="P84" s="50" t="s">
        <v>64</v>
      </c>
    </row>
    <row r="85" spans="1:16" s="49" customFormat="1" ht="16.5" x14ac:dyDescent="0.2">
      <c r="A85" s="37">
        <v>80</v>
      </c>
      <c r="B85" s="38" t="s">
        <v>141</v>
      </c>
      <c r="C85" s="38" t="s">
        <v>62</v>
      </c>
      <c r="D85" s="39">
        <v>1</v>
      </c>
      <c r="E85" s="39">
        <v>78</v>
      </c>
      <c r="F85" s="43">
        <v>40000</v>
      </c>
      <c r="G85" s="44">
        <f>Table1[[#This Row],[Trọng lượng]]*Table1[[#This Row],[Định mức]]</f>
        <v>3120000</v>
      </c>
      <c r="H85" s="45"/>
      <c r="M85" s="49" t="e">
        <f>SUM(#REF!)</f>
        <v>#REF!</v>
      </c>
      <c r="N85" s="49" t="e">
        <f>#REF!-M85</f>
        <v>#REF!</v>
      </c>
      <c r="P85" s="51" t="s">
        <v>62</v>
      </c>
    </row>
    <row r="86" spans="1:16" s="49" customFormat="1" ht="16.5" x14ac:dyDescent="0.2">
      <c r="A86" s="37">
        <v>81</v>
      </c>
      <c r="B86" s="38" t="s">
        <v>138</v>
      </c>
      <c r="C86" s="38" t="s">
        <v>202</v>
      </c>
      <c r="D86" s="39">
        <v>17</v>
      </c>
      <c r="E86" s="39">
        <v>479</v>
      </c>
      <c r="F86" s="43">
        <v>40000</v>
      </c>
      <c r="G86" s="44">
        <f>Table1[[#This Row],[Trọng lượng]]*Table1[[#This Row],[Định mức]]</f>
        <v>19160000</v>
      </c>
      <c r="H86" s="45"/>
      <c r="M86" s="49" t="e">
        <f>SUM(#REF!)</f>
        <v>#REF!</v>
      </c>
      <c r="N86" s="49" t="e">
        <f>#REF!-M86</f>
        <v>#REF!</v>
      </c>
      <c r="P86" s="50" t="s">
        <v>65</v>
      </c>
    </row>
    <row r="87" spans="1:16" s="49" customFormat="1" ht="16.5" x14ac:dyDescent="0.2">
      <c r="A87" s="37">
        <v>82</v>
      </c>
      <c r="B87" s="38" t="s">
        <v>145</v>
      </c>
      <c r="C87" s="38" t="s">
        <v>206</v>
      </c>
      <c r="D87" s="39">
        <v>35</v>
      </c>
      <c r="E87" s="39">
        <v>906</v>
      </c>
      <c r="F87" s="43">
        <v>40000</v>
      </c>
      <c r="G87" s="44">
        <f>Table1[[#This Row],[Trọng lượng]]*Table1[[#This Row],[Định mức]]</f>
        <v>36240000</v>
      </c>
      <c r="H87" s="45"/>
      <c r="J87" s="49">
        <f>31+34+26+20+24+26+26+24+30+38+30+28+34+32+30+18+26+30+22+20+22+25+20+19+10+11+15+30+35+20+35+23+20+37+35</f>
        <v>906</v>
      </c>
      <c r="M87" s="49" t="e">
        <f>SUM(#REF!)</f>
        <v>#REF!</v>
      </c>
      <c r="N87" s="49" t="e">
        <f>#REF!-M87</f>
        <v>#REF!</v>
      </c>
      <c r="P87" s="51" t="s">
        <v>71</v>
      </c>
    </row>
    <row r="88" spans="1:16" s="49" customFormat="1" ht="16.5" x14ac:dyDescent="0.2">
      <c r="A88" s="37">
        <v>83</v>
      </c>
      <c r="B88" s="38" t="s">
        <v>149</v>
      </c>
      <c r="C88" s="38" t="s">
        <v>62</v>
      </c>
      <c r="D88" s="39">
        <v>1</v>
      </c>
      <c r="E88" s="39">
        <v>143</v>
      </c>
      <c r="F88" s="43">
        <v>40000</v>
      </c>
      <c r="G88" s="44">
        <f>Table1[[#This Row],[Trọng lượng]]*Table1[[#This Row],[Định mức]]</f>
        <v>5720000</v>
      </c>
      <c r="H88" s="45"/>
      <c r="M88" s="49" t="e">
        <f>SUM(#REF!)</f>
        <v>#REF!</v>
      </c>
      <c r="N88" s="49" t="e">
        <f>#REF!-M88</f>
        <v>#REF!</v>
      </c>
      <c r="P88" s="50" t="s">
        <v>62</v>
      </c>
    </row>
    <row r="89" spans="1:16" s="49" customFormat="1" ht="16.5" x14ac:dyDescent="0.2">
      <c r="A89" s="37">
        <v>84</v>
      </c>
      <c r="B89" s="38" t="s">
        <v>150</v>
      </c>
      <c r="C89" s="38" t="s">
        <v>206</v>
      </c>
      <c r="D89" s="39">
        <v>13</v>
      </c>
      <c r="E89" s="39">
        <v>775</v>
      </c>
      <c r="F89" s="43">
        <v>40000</v>
      </c>
      <c r="G89" s="44">
        <f>Table1[[#This Row],[Trọng lượng]]*Table1[[#This Row],[Định mức]]</f>
        <v>31000000</v>
      </c>
      <c r="H89" s="45"/>
      <c r="J89" s="49">
        <f>71+60+64+61+68+60+63+47+57+56+62+55+51</f>
        <v>775</v>
      </c>
      <c r="M89" s="49" t="e">
        <f>SUM(#REF!)</f>
        <v>#REF!</v>
      </c>
      <c r="N89" s="49" t="e">
        <f>#REF!-M89</f>
        <v>#REF!</v>
      </c>
      <c r="P89" s="51" t="s">
        <v>71</v>
      </c>
    </row>
    <row r="90" spans="1:16" s="49" customFormat="1" ht="16.5" x14ac:dyDescent="0.2">
      <c r="A90" s="37">
        <v>85</v>
      </c>
      <c r="B90" s="38" t="s">
        <v>151</v>
      </c>
      <c r="C90" s="38" t="s">
        <v>57</v>
      </c>
      <c r="D90" s="39">
        <v>1</v>
      </c>
      <c r="E90" s="39">
        <v>132</v>
      </c>
      <c r="F90" s="43">
        <v>40000</v>
      </c>
      <c r="G90" s="44">
        <f>Table1[[#This Row],[Trọng lượng]]*Table1[[#This Row],[Định mức]]</f>
        <v>5280000</v>
      </c>
      <c r="H90" s="45"/>
      <c r="M90" s="49" t="e">
        <f>SUM(#REF!)</f>
        <v>#REF!</v>
      </c>
      <c r="N90" s="49" t="e">
        <f>#REF!-M90</f>
        <v>#REF!</v>
      </c>
      <c r="P90" s="50" t="s">
        <v>57</v>
      </c>
    </row>
    <row r="91" spans="1:16" s="49" customFormat="1" ht="33" x14ac:dyDescent="0.2">
      <c r="A91" s="37">
        <v>86</v>
      </c>
      <c r="B91" s="38" t="s">
        <v>152</v>
      </c>
      <c r="C91" s="38" t="s">
        <v>203</v>
      </c>
      <c r="D91" s="39">
        <v>1</v>
      </c>
      <c r="E91" s="39">
        <v>127</v>
      </c>
      <c r="F91" s="43">
        <v>40000</v>
      </c>
      <c r="G91" s="44">
        <f>Table1[[#This Row],[Trọng lượng]]*Table1[[#This Row],[Định mức]]</f>
        <v>5080000</v>
      </c>
      <c r="H91" s="45"/>
      <c r="M91" s="49" t="e">
        <f>SUM(#REF!)</f>
        <v>#REF!</v>
      </c>
      <c r="N91" s="49" t="e">
        <f>#REF!-M91</f>
        <v>#REF!</v>
      </c>
      <c r="P91" s="51" t="s">
        <v>66</v>
      </c>
    </row>
    <row r="92" spans="1:16" s="49" customFormat="1" ht="16.5" x14ac:dyDescent="0.2">
      <c r="A92" s="37">
        <v>87</v>
      </c>
      <c r="B92" s="38" t="s">
        <v>151</v>
      </c>
      <c r="C92" s="38" t="s">
        <v>57</v>
      </c>
      <c r="D92" s="39">
        <v>1</v>
      </c>
      <c r="E92" s="39">
        <v>72</v>
      </c>
      <c r="F92" s="43">
        <v>40000</v>
      </c>
      <c r="G92" s="44">
        <f>Table1[[#This Row],[Trọng lượng]]*Table1[[#This Row],[Định mức]]</f>
        <v>2880000</v>
      </c>
      <c r="H92" s="45"/>
      <c r="M92" s="49" t="e">
        <f>SUM(#REF!)</f>
        <v>#REF!</v>
      </c>
      <c r="N92" s="49" t="e">
        <f>#REF!-M92</f>
        <v>#REF!</v>
      </c>
      <c r="P92" s="50" t="s">
        <v>57</v>
      </c>
    </row>
    <row r="93" spans="1:16" s="49" customFormat="1" ht="16.5" x14ac:dyDescent="0.2">
      <c r="A93" s="37">
        <v>88</v>
      </c>
      <c r="B93" s="38" t="s">
        <v>153</v>
      </c>
      <c r="C93" s="38" t="s">
        <v>72</v>
      </c>
      <c r="D93" s="39">
        <v>2</v>
      </c>
      <c r="E93" s="39">
        <v>137</v>
      </c>
      <c r="F93" s="43">
        <v>40000</v>
      </c>
      <c r="G93" s="44">
        <f>Table1[[#This Row],[Trọng lượng]]*Table1[[#This Row],[Định mức]]</f>
        <v>5480000</v>
      </c>
      <c r="H93" s="45"/>
      <c r="M93" s="49" t="e">
        <f>SUM(#REF!)</f>
        <v>#REF!</v>
      </c>
      <c r="N93" s="49" t="e">
        <f>#REF!-M93</f>
        <v>#REF!</v>
      </c>
      <c r="P93" s="51" t="s">
        <v>72</v>
      </c>
    </row>
    <row r="94" spans="1:16" s="49" customFormat="1" ht="21" x14ac:dyDescent="0.2">
      <c r="A94" s="37">
        <v>89</v>
      </c>
      <c r="B94" s="38" t="s">
        <v>154</v>
      </c>
      <c r="C94" s="38" t="s">
        <v>204</v>
      </c>
      <c r="D94" s="39">
        <v>2</v>
      </c>
      <c r="E94" s="39">
        <v>294</v>
      </c>
      <c r="F94" s="43">
        <v>40000</v>
      </c>
      <c r="G94" s="44">
        <f>Table1[[#This Row],[Trọng lượng]]*Table1[[#This Row],[Định mức]]</f>
        <v>11760000</v>
      </c>
      <c r="H94" s="45"/>
      <c r="M94" s="49" t="e">
        <f>SUM(#REF!)</f>
        <v>#REF!</v>
      </c>
      <c r="N94" s="49" t="e">
        <f>#REF!-M94</f>
        <v>#REF!</v>
      </c>
      <c r="P94" s="50" t="s">
        <v>69</v>
      </c>
    </row>
    <row r="95" spans="1:16" s="49" customFormat="1" ht="21" x14ac:dyDescent="0.2">
      <c r="A95" s="37">
        <v>90</v>
      </c>
      <c r="B95" s="38" t="s">
        <v>155</v>
      </c>
      <c r="C95" s="38" t="s">
        <v>204</v>
      </c>
      <c r="D95" s="39">
        <v>1</v>
      </c>
      <c r="E95" s="39">
        <v>138</v>
      </c>
      <c r="F95" s="43">
        <v>40000</v>
      </c>
      <c r="G95" s="44">
        <f>Table1[[#This Row],[Trọng lượng]]*Table1[[#This Row],[Định mức]]</f>
        <v>5520000</v>
      </c>
      <c r="H95" s="45"/>
      <c r="M95" s="49" t="e">
        <f>SUM(#REF!)</f>
        <v>#REF!</v>
      </c>
      <c r="N95" s="49" t="e">
        <f>#REF!-M95</f>
        <v>#REF!</v>
      </c>
      <c r="P95" s="51" t="s">
        <v>69</v>
      </c>
    </row>
    <row r="96" spans="1:16" s="49" customFormat="1" ht="16.5" x14ac:dyDescent="0.2">
      <c r="A96" s="52">
        <v>91</v>
      </c>
      <c r="B96" s="53" t="s">
        <v>156</v>
      </c>
      <c r="C96" s="53" t="s">
        <v>207</v>
      </c>
      <c r="D96" s="54">
        <v>11</v>
      </c>
      <c r="E96" s="39">
        <v>197</v>
      </c>
      <c r="F96" s="43">
        <v>40000</v>
      </c>
      <c r="G96" s="44">
        <f>Table1[[#This Row],[Trọng lượng]]*Table1[[#This Row],[Định mức]]</f>
        <v>7880000</v>
      </c>
      <c r="H96" s="45"/>
      <c r="M96" s="49" t="e">
        <f>SUM(#REF!)</f>
        <v>#REF!</v>
      </c>
      <c r="N96" s="49" t="e">
        <f>#REF!-M96</f>
        <v>#REF!</v>
      </c>
      <c r="P96" s="55" t="s">
        <v>73</v>
      </c>
    </row>
    <row r="97" spans="1:16" s="49" customFormat="1" ht="16.5" x14ac:dyDescent="0.2">
      <c r="A97" s="52">
        <v>92</v>
      </c>
      <c r="B97" s="53" t="s">
        <v>151</v>
      </c>
      <c r="C97" s="53" t="s">
        <v>57</v>
      </c>
      <c r="D97" s="54">
        <v>3</v>
      </c>
      <c r="E97" s="39">
        <v>272</v>
      </c>
      <c r="F97" s="43">
        <v>40000</v>
      </c>
      <c r="G97" s="44">
        <f>Table1[[#This Row],[Trọng lượng]]*Table1[[#This Row],[Định mức]]</f>
        <v>10880000</v>
      </c>
      <c r="H97" s="45"/>
      <c r="M97" s="49" t="e">
        <f>SUM(#REF!)</f>
        <v>#REF!</v>
      </c>
      <c r="N97" s="49" t="e">
        <f>#REF!-M97</f>
        <v>#REF!</v>
      </c>
      <c r="P97" s="57" t="s">
        <v>57</v>
      </c>
    </row>
    <row r="98" spans="1:16" s="49" customFormat="1" ht="16.5" x14ac:dyDescent="0.2">
      <c r="A98" s="52">
        <v>93</v>
      </c>
      <c r="B98" s="53" t="s">
        <v>157</v>
      </c>
      <c r="C98" s="53" t="s">
        <v>203</v>
      </c>
      <c r="D98" s="54">
        <v>5</v>
      </c>
      <c r="E98" s="39">
        <v>238</v>
      </c>
      <c r="F98" s="43">
        <v>40000</v>
      </c>
      <c r="G98" s="44">
        <f>Table1[[#This Row],[Trọng lượng]]*Table1[[#This Row],[Định mức]]</f>
        <v>9520000</v>
      </c>
      <c r="H98" s="45"/>
      <c r="M98" s="49" t="e">
        <f>SUM(#REF!)</f>
        <v>#REF!</v>
      </c>
      <c r="N98" s="49" t="e">
        <f>#REF!-M98</f>
        <v>#REF!</v>
      </c>
      <c r="P98" s="55" t="s">
        <v>66</v>
      </c>
    </row>
    <row r="99" spans="1:16" s="49" customFormat="1" ht="16.5" x14ac:dyDescent="0.2">
      <c r="A99" s="52">
        <v>94</v>
      </c>
      <c r="B99" s="53" t="s">
        <v>128</v>
      </c>
      <c r="C99" s="53" t="s">
        <v>60</v>
      </c>
      <c r="D99" s="54">
        <v>5</v>
      </c>
      <c r="E99" s="39">
        <v>341</v>
      </c>
      <c r="F99" s="43">
        <v>40000</v>
      </c>
      <c r="G99" s="44">
        <f>Table1[[#This Row],[Trọng lượng]]*Table1[[#This Row],[Định mức]]</f>
        <v>13640000</v>
      </c>
      <c r="H99" s="45"/>
      <c r="M99" s="49" t="e">
        <f>SUM(#REF!)</f>
        <v>#REF!</v>
      </c>
      <c r="N99" s="49" t="e">
        <f>#REF!-M99</f>
        <v>#REF!</v>
      </c>
      <c r="P99" s="57" t="s">
        <v>59</v>
      </c>
    </row>
    <row r="100" spans="1:16" s="49" customFormat="1" ht="21" customHeight="1" x14ac:dyDescent="0.2">
      <c r="A100" s="52">
        <v>95</v>
      </c>
      <c r="B100" s="53" t="s">
        <v>158</v>
      </c>
      <c r="C100" s="53" t="s">
        <v>203</v>
      </c>
      <c r="D100" s="54">
        <v>15</v>
      </c>
      <c r="E100" s="39">
        <v>196</v>
      </c>
      <c r="F100" s="43">
        <v>40000</v>
      </c>
      <c r="G100" s="44">
        <f>Table1[[#This Row],[Trọng lượng]]*Table1[[#This Row],[Định mức]]</f>
        <v>7840000</v>
      </c>
      <c r="H100" s="58"/>
      <c r="M100" s="49" t="e">
        <f>SUM(#REF!)</f>
        <v>#REF!</v>
      </c>
      <c r="N100" s="49" t="e">
        <f>#REF!-M100</f>
        <v>#REF!</v>
      </c>
      <c r="P100" s="55" t="s">
        <v>66</v>
      </c>
    </row>
    <row r="101" spans="1:16" s="49" customFormat="1" ht="16.5" x14ac:dyDescent="0.2">
      <c r="A101" s="52">
        <v>96</v>
      </c>
      <c r="B101" s="53" t="s">
        <v>159</v>
      </c>
      <c r="C101" s="53" t="s">
        <v>203</v>
      </c>
      <c r="D101" s="54">
        <v>13</v>
      </c>
      <c r="E101" s="39">
        <v>643</v>
      </c>
      <c r="F101" s="43">
        <v>40000</v>
      </c>
      <c r="G101" s="44">
        <f>Table1[[#This Row],[Trọng lượng]]*Table1[[#This Row],[Định mức]]</f>
        <v>25720000</v>
      </c>
      <c r="H101" s="45"/>
      <c r="J101" s="49">
        <f>45+52+54+46+46+41+50+55+49+55+50+45+55</f>
        <v>643</v>
      </c>
      <c r="M101" s="49" t="e">
        <f>SUM(#REF!)</f>
        <v>#REF!</v>
      </c>
      <c r="N101" s="49" t="e">
        <f>#REF!-M101</f>
        <v>#REF!</v>
      </c>
      <c r="P101" s="57" t="s">
        <v>58</v>
      </c>
    </row>
    <row r="102" spans="1:16" s="49" customFormat="1" ht="16.5" x14ac:dyDescent="0.2">
      <c r="A102" s="52">
        <v>97</v>
      </c>
      <c r="B102" s="53" t="s">
        <v>136</v>
      </c>
      <c r="C102" s="53" t="s">
        <v>63</v>
      </c>
      <c r="D102" s="54">
        <v>1</v>
      </c>
      <c r="E102" s="39">
        <v>134</v>
      </c>
      <c r="F102" s="43">
        <v>40000</v>
      </c>
      <c r="G102" s="44">
        <f>Table1[[#This Row],[Trọng lượng]]*Table1[[#This Row],[Định mức]]</f>
        <v>5360000</v>
      </c>
      <c r="H102" s="45"/>
      <c r="M102" s="49" t="e">
        <f>SUM(#REF!)</f>
        <v>#REF!</v>
      </c>
      <c r="N102" s="49" t="e">
        <f>#REF!-M102</f>
        <v>#REF!</v>
      </c>
      <c r="P102" s="55" t="s">
        <v>63</v>
      </c>
    </row>
    <row r="103" spans="1:16" s="49" customFormat="1" ht="21" x14ac:dyDescent="0.2">
      <c r="A103" s="52">
        <v>98</v>
      </c>
      <c r="B103" s="53" t="s">
        <v>154</v>
      </c>
      <c r="C103" s="53" t="s">
        <v>204</v>
      </c>
      <c r="D103" s="54">
        <v>4</v>
      </c>
      <c r="E103" s="39">
        <v>502</v>
      </c>
      <c r="F103" s="43">
        <v>40000</v>
      </c>
      <c r="G103" s="44">
        <f>Table1[[#This Row],[Trọng lượng]]*Table1[[#This Row],[Định mức]]</f>
        <v>20080000</v>
      </c>
      <c r="H103" s="45"/>
      <c r="M103" s="49" t="e">
        <f>SUM(#REF!)</f>
        <v>#REF!</v>
      </c>
      <c r="N103" s="49" t="e">
        <f>#REF!-M103</f>
        <v>#REF!</v>
      </c>
      <c r="P103" s="57" t="s">
        <v>69</v>
      </c>
    </row>
    <row r="104" spans="1:16" s="49" customFormat="1" ht="16.5" x14ac:dyDescent="0.2">
      <c r="A104" s="52">
        <v>99</v>
      </c>
      <c r="B104" s="53" t="s">
        <v>160</v>
      </c>
      <c r="C104" s="53" t="s">
        <v>72</v>
      </c>
      <c r="D104" s="54">
        <v>14</v>
      </c>
      <c r="E104" s="39">
        <v>869</v>
      </c>
      <c r="F104" s="43">
        <v>40000</v>
      </c>
      <c r="G104" s="44">
        <f>Table1[[#This Row],[Trọng lượng]]*Table1[[#This Row],[Định mức]]</f>
        <v>34760000</v>
      </c>
      <c r="H104" s="45"/>
      <c r="J104" s="49">
        <f>69+67+58+63+59+56+70+66+51+62+65+67+60+56</f>
        <v>869</v>
      </c>
      <c r="M104" s="49" t="e">
        <f>SUM(#REF!)</f>
        <v>#REF!</v>
      </c>
      <c r="N104" s="49" t="e">
        <f>#REF!-M104</f>
        <v>#REF!</v>
      </c>
      <c r="P104" s="55" t="s">
        <v>72</v>
      </c>
    </row>
    <row r="105" spans="1:16" s="49" customFormat="1" ht="16.5" x14ac:dyDescent="0.2">
      <c r="A105" s="52">
        <v>100</v>
      </c>
      <c r="B105" s="53" t="s">
        <v>161</v>
      </c>
      <c r="C105" s="53" t="s">
        <v>203</v>
      </c>
      <c r="D105" s="54">
        <v>1</v>
      </c>
      <c r="E105" s="39">
        <v>126</v>
      </c>
      <c r="F105" s="43">
        <v>40000</v>
      </c>
      <c r="G105" s="44">
        <f>Table1[[#This Row],[Trọng lượng]]*Table1[[#This Row],[Định mức]]</f>
        <v>5040000</v>
      </c>
      <c r="H105" s="45"/>
      <c r="M105" s="49" t="e">
        <f>SUM(#REF!)</f>
        <v>#REF!</v>
      </c>
      <c r="N105" s="49" t="e">
        <f>#REF!-M105</f>
        <v>#REF!</v>
      </c>
      <c r="P105" s="57" t="s">
        <v>58</v>
      </c>
    </row>
    <row r="106" spans="1:16" s="49" customFormat="1" ht="16.5" x14ac:dyDescent="0.2">
      <c r="A106" s="52">
        <v>101</v>
      </c>
      <c r="B106" s="53" t="s">
        <v>162</v>
      </c>
      <c r="C106" s="53" t="s">
        <v>72</v>
      </c>
      <c r="D106" s="54">
        <v>2</v>
      </c>
      <c r="E106" s="39">
        <v>301</v>
      </c>
      <c r="F106" s="43">
        <v>40000</v>
      </c>
      <c r="G106" s="44">
        <f>Table1[[#This Row],[Trọng lượng]]*Table1[[#This Row],[Định mức]]</f>
        <v>12040000</v>
      </c>
      <c r="H106" s="45"/>
      <c r="M106" s="49" t="e">
        <f>SUM(#REF!)</f>
        <v>#REF!</v>
      </c>
      <c r="N106" s="49" t="e">
        <f>#REF!-M106</f>
        <v>#REF!</v>
      </c>
      <c r="P106" s="55" t="s">
        <v>72</v>
      </c>
    </row>
    <row r="107" spans="1:16" s="49" customFormat="1" ht="33" x14ac:dyDescent="0.2">
      <c r="A107" s="52">
        <v>102</v>
      </c>
      <c r="B107" s="53" t="s">
        <v>163</v>
      </c>
      <c r="C107" s="53" t="s">
        <v>204</v>
      </c>
      <c r="D107" s="54">
        <v>4</v>
      </c>
      <c r="E107" s="39">
        <v>298</v>
      </c>
      <c r="F107" s="43">
        <v>40000</v>
      </c>
      <c r="G107" s="44">
        <f>Table1[[#This Row],[Trọng lượng]]*Table1[[#This Row],[Định mức]]</f>
        <v>11920000</v>
      </c>
      <c r="H107" s="45"/>
      <c r="M107" s="49" t="e">
        <f>SUM(#REF!)</f>
        <v>#REF!</v>
      </c>
      <c r="N107" s="49" t="e">
        <f>#REF!-M107</f>
        <v>#REF!</v>
      </c>
      <c r="P107" s="57" t="s">
        <v>70</v>
      </c>
    </row>
    <row r="108" spans="1:16" s="49" customFormat="1" ht="16.5" x14ac:dyDescent="0.2">
      <c r="A108" s="52">
        <v>103</v>
      </c>
      <c r="B108" s="53" t="s">
        <v>159</v>
      </c>
      <c r="C108" s="53" t="s">
        <v>203</v>
      </c>
      <c r="D108" s="54">
        <v>11</v>
      </c>
      <c r="E108" s="39">
        <v>561</v>
      </c>
      <c r="F108" s="43">
        <v>40000</v>
      </c>
      <c r="G108" s="44">
        <f>Table1[[#This Row],[Trọng lượng]]*Table1[[#This Row],[Định mức]]</f>
        <v>22440000</v>
      </c>
      <c r="H108" s="45"/>
      <c r="J108" s="49">
        <f>47+46+52+48+55+54+50+51+56+49+53</f>
        <v>561</v>
      </c>
      <c r="M108" s="49" t="e">
        <f>SUM(#REF!)</f>
        <v>#REF!</v>
      </c>
      <c r="N108" s="49" t="e">
        <f>#REF!-M108</f>
        <v>#REF!</v>
      </c>
      <c r="P108" s="55" t="s">
        <v>58</v>
      </c>
    </row>
    <row r="109" spans="1:16" s="49" customFormat="1" ht="16.5" x14ac:dyDescent="0.2">
      <c r="A109" s="52">
        <v>104</v>
      </c>
      <c r="B109" s="53" t="s">
        <v>164</v>
      </c>
      <c r="C109" s="53" t="s">
        <v>72</v>
      </c>
      <c r="D109" s="54">
        <v>1</v>
      </c>
      <c r="E109" s="39">
        <v>142</v>
      </c>
      <c r="F109" s="43">
        <v>40000</v>
      </c>
      <c r="G109" s="44">
        <f>Table1[[#This Row],[Trọng lượng]]*Table1[[#This Row],[Định mức]]</f>
        <v>5680000</v>
      </c>
      <c r="H109" s="45"/>
      <c r="M109" s="49" t="e">
        <f>SUM(#REF!)</f>
        <v>#REF!</v>
      </c>
      <c r="N109" s="49" t="e">
        <f>#REF!-M109</f>
        <v>#REF!</v>
      </c>
      <c r="P109" s="57" t="s">
        <v>215</v>
      </c>
    </row>
    <row r="110" spans="1:16" s="49" customFormat="1" ht="16.5" x14ac:dyDescent="0.2">
      <c r="A110" s="52">
        <v>105</v>
      </c>
      <c r="B110" s="53" t="s">
        <v>165</v>
      </c>
      <c r="C110" s="53" t="s">
        <v>62</v>
      </c>
      <c r="D110" s="54">
        <v>2</v>
      </c>
      <c r="E110" s="39">
        <v>271</v>
      </c>
      <c r="F110" s="43">
        <v>40000</v>
      </c>
      <c r="G110" s="44">
        <f>Table1[[#This Row],[Trọng lượng]]*Table1[[#This Row],[Định mức]]</f>
        <v>10840000</v>
      </c>
      <c r="H110" s="45"/>
      <c r="M110" s="49" t="e">
        <f>SUM(#REF!)</f>
        <v>#REF!</v>
      </c>
      <c r="N110" s="49" t="e">
        <f>#REF!-M110</f>
        <v>#REF!</v>
      </c>
      <c r="P110" s="55" t="s">
        <v>62</v>
      </c>
    </row>
    <row r="111" spans="1:16" s="49" customFormat="1" ht="16.5" x14ac:dyDescent="0.2">
      <c r="A111" s="52">
        <v>106</v>
      </c>
      <c r="B111" s="53" t="s">
        <v>166</v>
      </c>
      <c r="C111" s="53" t="s">
        <v>72</v>
      </c>
      <c r="D111" s="54">
        <v>2</v>
      </c>
      <c r="E111" s="39">
        <v>285</v>
      </c>
      <c r="F111" s="43">
        <v>40000</v>
      </c>
      <c r="G111" s="44">
        <f>Table1[[#This Row],[Trọng lượng]]*Table1[[#This Row],[Định mức]]</f>
        <v>11400000</v>
      </c>
      <c r="H111" s="45"/>
      <c r="M111" s="49" t="e">
        <f>SUM(#REF!)</f>
        <v>#REF!</v>
      </c>
      <c r="N111" s="49" t="e">
        <f>#REF!-M111</f>
        <v>#REF!</v>
      </c>
      <c r="P111" s="57" t="s">
        <v>72</v>
      </c>
    </row>
    <row r="112" spans="1:16" s="49" customFormat="1" ht="16.5" x14ac:dyDescent="0.2">
      <c r="A112" s="52">
        <v>107</v>
      </c>
      <c r="B112" s="53" t="s">
        <v>167</v>
      </c>
      <c r="C112" s="53" t="s">
        <v>64</v>
      </c>
      <c r="D112" s="54">
        <v>13</v>
      </c>
      <c r="E112" s="39">
        <v>965</v>
      </c>
      <c r="F112" s="43">
        <v>40000</v>
      </c>
      <c r="G112" s="44">
        <f>Table1[[#This Row],[Trọng lượng]]*Table1[[#This Row],[Định mức]]</f>
        <v>38600000</v>
      </c>
      <c r="H112" s="45"/>
      <c r="J112" s="49">
        <f>51+73+64+71+67+70+65+69+60+66+69+67+173</f>
        <v>965</v>
      </c>
      <c r="M112" s="49" t="e">
        <f>SUM(#REF!)</f>
        <v>#REF!</v>
      </c>
      <c r="N112" s="49" t="e">
        <f>#REF!-M112</f>
        <v>#REF!</v>
      </c>
      <c r="P112" s="55" t="s">
        <v>64</v>
      </c>
    </row>
    <row r="113" spans="1:16" s="49" customFormat="1" ht="16.5" x14ac:dyDescent="0.2">
      <c r="A113" s="52">
        <v>108</v>
      </c>
      <c r="B113" s="53" t="s">
        <v>168</v>
      </c>
      <c r="C113" s="53" t="s">
        <v>64</v>
      </c>
      <c r="D113" s="54">
        <v>12</v>
      </c>
      <c r="E113" s="46">
        <v>1142</v>
      </c>
      <c r="F113" s="43">
        <v>40000</v>
      </c>
      <c r="G113" s="44">
        <f>Table1[[#This Row],[Trọng lượng]]*Table1[[#This Row],[Định mức]]</f>
        <v>45680000</v>
      </c>
      <c r="H113" s="45"/>
      <c r="J113" s="49">
        <f>169+181+78+83+75+81+114+137+19+15+18+172</f>
        <v>1142</v>
      </c>
      <c r="M113" s="49" t="e">
        <f>SUM(#REF!)</f>
        <v>#REF!</v>
      </c>
      <c r="N113" s="49" t="e">
        <f>#REF!-M113</f>
        <v>#REF!</v>
      </c>
      <c r="P113" s="57" t="s">
        <v>64</v>
      </c>
    </row>
    <row r="114" spans="1:16" s="49" customFormat="1" ht="16.5" x14ac:dyDescent="0.2">
      <c r="A114" s="52">
        <v>109</v>
      </c>
      <c r="B114" s="53" t="s">
        <v>169</v>
      </c>
      <c r="C114" s="53" t="s">
        <v>64</v>
      </c>
      <c r="D114" s="54">
        <v>33</v>
      </c>
      <c r="E114" s="46">
        <v>1599</v>
      </c>
      <c r="F114" s="43">
        <v>40000</v>
      </c>
      <c r="G114" s="44">
        <f>Table1[[#This Row],[Trọng lượng]]*Table1[[#This Row],[Định mức]]</f>
        <v>63960000</v>
      </c>
      <c r="H114" s="45"/>
      <c r="J114" s="49">
        <f>52+45+43+50+59+52+58+44+49+52+47+56+55+52+49+48+53+50+48+45+45+49+44+46+43+43+47+47+50+41+46+42+49</f>
        <v>1599</v>
      </c>
      <c r="M114" s="49" t="e">
        <f>SUM(#REF!)</f>
        <v>#REF!</v>
      </c>
      <c r="N114" s="49" t="e">
        <f>#REF!-M114</f>
        <v>#REF!</v>
      </c>
      <c r="P114" s="55" t="s">
        <v>64</v>
      </c>
    </row>
    <row r="115" spans="1:16" s="49" customFormat="1" ht="16.5" x14ac:dyDescent="0.2">
      <c r="A115" s="52">
        <v>110</v>
      </c>
      <c r="B115" s="53" t="s">
        <v>170</v>
      </c>
      <c r="C115" s="53" t="s">
        <v>72</v>
      </c>
      <c r="D115" s="54">
        <v>24</v>
      </c>
      <c r="E115" s="46">
        <v>2258</v>
      </c>
      <c r="F115" s="43">
        <v>40000</v>
      </c>
      <c r="G115" s="44">
        <f>Table1[[#This Row],[Trọng lượng]]*Table1[[#This Row],[Định mức]]</f>
        <v>90320000</v>
      </c>
      <c r="H115" s="45"/>
      <c r="J115" s="49">
        <f>217+163+147+142+165+184+72+64+69+59+65+60+64+66+71+60+69+61+62+63+70+63+67+135</f>
        <v>2258</v>
      </c>
      <c r="M115" s="49" t="e">
        <f>SUM(#REF!)</f>
        <v>#REF!</v>
      </c>
      <c r="N115" s="49" t="e">
        <f>#REF!-M115</f>
        <v>#REF!</v>
      </c>
      <c r="P115" s="57" t="s">
        <v>215</v>
      </c>
    </row>
    <row r="116" spans="1:16" s="49" customFormat="1" ht="16.5" x14ac:dyDescent="0.2">
      <c r="A116" s="52">
        <v>111</v>
      </c>
      <c r="B116" s="53" t="s">
        <v>171</v>
      </c>
      <c r="C116" s="53" t="s">
        <v>68</v>
      </c>
      <c r="D116" s="54">
        <v>35</v>
      </c>
      <c r="E116" s="46">
        <v>2415</v>
      </c>
      <c r="F116" s="43">
        <v>40000</v>
      </c>
      <c r="G116" s="44">
        <f>Table1[[#This Row],[Trọng lượng]]*Table1[[#This Row],[Định mức]]</f>
        <v>96600000</v>
      </c>
      <c r="H116" s="45"/>
      <c r="J116" s="49">
        <f>164+153+132+149+137+51+48+59+58+58+44+59+52+52+61+64+56+60+60+48+57+53+55+49+65+62+57+57+57+60+59+54+58+60+47</f>
        <v>2415</v>
      </c>
      <c r="M116" s="49" t="e">
        <f>SUM(#REF!)</f>
        <v>#REF!</v>
      </c>
      <c r="N116" s="49" t="e">
        <f>#REF!-M116</f>
        <v>#REF!</v>
      </c>
      <c r="P116" s="55" t="s">
        <v>68</v>
      </c>
    </row>
    <row r="117" spans="1:16" s="49" customFormat="1" ht="21" x14ac:dyDescent="0.2">
      <c r="A117" s="52">
        <v>112</v>
      </c>
      <c r="B117" s="53" t="s">
        <v>172</v>
      </c>
      <c r="C117" s="53" t="s">
        <v>204</v>
      </c>
      <c r="D117" s="54">
        <v>5</v>
      </c>
      <c r="E117" s="39">
        <v>362</v>
      </c>
      <c r="F117" s="43">
        <v>40000</v>
      </c>
      <c r="G117" s="44">
        <f>Table1[[#This Row],[Trọng lượng]]*Table1[[#This Row],[Định mức]]</f>
        <v>14480000</v>
      </c>
      <c r="H117" s="45"/>
      <c r="M117" s="49" t="e">
        <f>SUM(#REF!)</f>
        <v>#REF!</v>
      </c>
      <c r="N117" s="49" t="e">
        <f>#REF!-M117</f>
        <v>#REF!</v>
      </c>
      <c r="P117" s="57" t="s">
        <v>69</v>
      </c>
    </row>
    <row r="118" spans="1:16" s="49" customFormat="1" ht="16.5" x14ac:dyDescent="0.2">
      <c r="A118" s="52">
        <v>113</v>
      </c>
      <c r="B118" s="53" t="s">
        <v>173</v>
      </c>
      <c r="C118" s="53" t="s">
        <v>205</v>
      </c>
      <c r="D118" s="54">
        <v>1</v>
      </c>
      <c r="E118" s="39">
        <v>124</v>
      </c>
      <c r="F118" s="43">
        <v>40000</v>
      </c>
      <c r="G118" s="44">
        <f>Table1[[#This Row],[Trọng lượng]]*Table1[[#This Row],[Định mức]]</f>
        <v>4960000</v>
      </c>
      <c r="H118" s="45"/>
      <c r="M118" s="49" t="e">
        <f>SUM(#REF!)</f>
        <v>#REF!</v>
      </c>
      <c r="N118" s="49" t="e">
        <f>#REF!-M118</f>
        <v>#REF!</v>
      </c>
      <c r="P118" s="55" t="s">
        <v>61</v>
      </c>
    </row>
    <row r="119" spans="1:16" s="49" customFormat="1" ht="16.5" x14ac:dyDescent="0.2">
      <c r="A119" s="52">
        <v>114</v>
      </c>
      <c r="B119" s="53" t="s">
        <v>174</v>
      </c>
      <c r="C119" s="53" t="s">
        <v>72</v>
      </c>
      <c r="D119" s="54">
        <v>1</v>
      </c>
      <c r="E119" s="39">
        <v>117</v>
      </c>
      <c r="F119" s="43">
        <v>40000</v>
      </c>
      <c r="G119" s="44">
        <f>Table1[[#This Row],[Trọng lượng]]*Table1[[#This Row],[Định mức]]</f>
        <v>4680000</v>
      </c>
      <c r="H119" s="45"/>
      <c r="M119" s="49" t="e">
        <f>SUM(#REF!)</f>
        <v>#REF!</v>
      </c>
      <c r="N119" s="49" t="e">
        <f>#REF!-M119</f>
        <v>#REF!</v>
      </c>
      <c r="P119" s="57" t="s">
        <v>72</v>
      </c>
    </row>
    <row r="120" spans="1:16" s="49" customFormat="1" ht="16.5" x14ac:dyDescent="0.2">
      <c r="A120" s="52">
        <v>115</v>
      </c>
      <c r="B120" s="53" t="s">
        <v>175</v>
      </c>
      <c r="C120" s="53" t="s">
        <v>63</v>
      </c>
      <c r="D120" s="54">
        <v>1</v>
      </c>
      <c r="E120" s="39">
        <v>142</v>
      </c>
      <c r="F120" s="43">
        <v>40000</v>
      </c>
      <c r="G120" s="44">
        <f>Table1[[#This Row],[Trọng lượng]]*Table1[[#This Row],[Định mức]]</f>
        <v>5680000</v>
      </c>
      <c r="H120" s="45"/>
      <c r="M120" s="49" t="e">
        <f>SUM(#REF!)</f>
        <v>#REF!</v>
      </c>
      <c r="N120" s="49" t="e">
        <f>#REF!-M120</f>
        <v>#REF!</v>
      </c>
      <c r="P120" s="55" t="s">
        <v>63</v>
      </c>
    </row>
    <row r="121" spans="1:16" s="49" customFormat="1" ht="16.5" x14ac:dyDescent="0.2">
      <c r="A121" s="52">
        <v>116</v>
      </c>
      <c r="B121" s="53" t="s">
        <v>176</v>
      </c>
      <c r="C121" s="53" t="s">
        <v>203</v>
      </c>
      <c r="D121" s="54">
        <v>17</v>
      </c>
      <c r="E121" s="39">
        <v>817</v>
      </c>
      <c r="F121" s="43">
        <v>40000</v>
      </c>
      <c r="G121" s="44">
        <f>Table1[[#This Row],[Trọng lượng]]*Table1[[#This Row],[Định mức]]</f>
        <v>32680000</v>
      </c>
      <c r="H121" s="45"/>
      <c r="J121" s="49">
        <f>110+96+121+31+34+33+42+37+35+35+36+30+31+34+34+40+38</f>
        <v>817</v>
      </c>
      <c r="M121" s="49" t="e">
        <f>SUM(#REF!)</f>
        <v>#REF!</v>
      </c>
      <c r="N121" s="49" t="e">
        <f>#REF!-M121</f>
        <v>#REF!</v>
      </c>
      <c r="P121" s="57" t="s">
        <v>58</v>
      </c>
    </row>
    <row r="122" spans="1:16" s="49" customFormat="1" ht="16.5" x14ac:dyDescent="0.2">
      <c r="A122" s="52">
        <v>117</v>
      </c>
      <c r="B122" s="53" t="s">
        <v>177</v>
      </c>
      <c r="C122" s="53" t="s">
        <v>72</v>
      </c>
      <c r="D122" s="54">
        <v>4</v>
      </c>
      <c r="E122" s="39">
        <v>549</v>
      </c>
      <c r="F122" s="43">
        <v>40000</v>
      </c>
      <c r="G122" s="44">
        <f>Table1[[#This Row],[Trọng lượng]]*Table1[[#This Row],[Định mức]]</f>
        <v>21960000</v>
      </c>
      <c r="H122" s="45"/>
      <c r="J122" s="49">
        <f>128+153+141+127</f>
        <v>549</v>
      </c>
      <c r="M122" s="49" t="e">
        <f>SUM(#REF!)</f>
        <v>#REF!</v>
      </c>
      <c r="N122" s="49" t="e">
        <f>#REF!-M122</f>
        <v>#REF!</v>
      </c>
      <c r="P122" s="55" t="s">
        <v>215</v>
      </c>
    </row>
    <row r="123" spans="1:16" s="49" customFormat="1" ht="21" x14ac:dyDescent="0.2">
      <c r="A123" s="52">
        <v>118</v>
      </c>
      <c r="B123" s="53" t="s">
        <v>178</v>
      </c>
      <c r="C123" s="53" t="s">
        <v>204</v>
      </c>
      <c r="D123" s="54">
        <v>2</v>
      </c>
      <c r="E123" s="39">
        <v>235</v>
      </c>
      <c r="F123" s="43">
        <v>40000</v>
      </c>
      <c r="G123" s="44">
        <f>Table1[[#This Row],[Trọng lượng]]*Table1[[#This Row],[Định mức]]</f>
        <v>9400000</v>
      </c>
      <c r="H123" s="45"/>
      <c r="M123" s="49" t="e">
        <f>SUM(#REF!)</f>
        <v>#REF!</v>
      </c>
      <c r="N123" s="49" t="e">
        <f>#REF!-M123</f>
        <v>#REF!</v>
      </c>
      <c r="P123" s="57" t="s">
        <v>69</v>
      </c>
    </row>
    <row r="124" spans="1:16" s="49" customFormat="1" ht="16.5" x14ac:dyDescent="0.2">
      <c r="A124" s="52">
        <v>119</v>
      </c>
      <c r="B124" s="53" t="s">
        <v>140</v>
      </c>
      <c r="C124" s="53" t="s">
        <v>64</v>
      </c>
      <c r="D124" s="54">
        <v>8</v>
      </c>
      <c r="E124" s="39">
        <v>483</v>
      </c>
      <c r="F124" s="43">
        <v>40000</v>
      </c>
      <c r="G124" s="44">
        <f>Table1[[#This Row],[Trọng lượng]]*Table1[[#This Row],[Định mức]]</f>
        <v>19320000</v>
      </c>
      <c r="H124" s="45"/>
      <c r="J124" s="49">
        <f>61+59+60+62+55+57+65+64</f>
        <v>483</v>
      </c>
      <c r="M124" s="49" t="e">
        <f>SUM(#REF!)</f>
        <v>#REF!</v>
      </c>
      <c r="N124" s="49" t="e">
        <f>#REF!-M124</f>
        <v>#REF!</v>
      </c>
      <c r="P124" s="55" t="s">
        <v>64</v>
      </c>
    </row>
    <row r="125" spans="1:16" s="49" customFormat="1" ht="16.5" x14ac:dyDescent="0.2">
      <c r="A125" s="52">
        <v>120</v>
      </c>
      <c r="B125" s="53" t="s">
        <v>167</v>
      </c>
      <c r="C125" s="53" t="s">
        <v>64</v>
      </c>
      <c r="D125" s="54">
        <v>1</v>
      </c>
      <c r="E125" s="39">
        <v>162</v>
      </c>
      <c r="F125" s="43">
        <v>40000</v>
      </c>
      <c r="G125" s="44">
        <f>Table1[[#This Row],[Trọng lượng]]*Table1[[#This Row],[Định mức]]</f>
        <v>6480000</v>
      </c>
      <c r="H125" s="45"/>
      <c r="M125" s="49" t="e">
        <f>SUM(#REF!)</f>
        <v>#REF!</v>
      </c>
      <c r="N125" s="49" t="e">
        <f>#REF!-M125</f>
        <v>#REF!</v>
      </c>
      <c r="P125" s="57" t="s">
        <v>64</v>
      </c>
    </row>
    <row r="126" spans="1:16" s="49" customFormat="1" ht="16.5" x14ac:dyDescent="0.2">
      <c r="A126" s="52">
        <v>121</v>
      </c>
      <c r="B126" s="53" t="s">
        <v>179</v>
      </c>
      <c r="C126" s="53" t="s">
        <v>60</v>
      </c>
      <c r="D126" s="54">
        <v>29</v>
      </c>
      <c r="E126" s="46">
        <v>1703</v>
      </c>
      <c r="F126" s="43">
        <v>40000</v>
      </c>
      <c r="G126" s="44">
        <f>Table1[[#This Row],[Trọng lượng]]*Table1[[#This Row],[Định mức]]</f>
        <v>68120000</v>
      </c>
      <c r="H126" s="45"/>
      <c r="J126" s="49">
        <f>60+60+60+58+57+52+55+65+56+55+53+59+51+61+61+62+58+58+60+60+60+70+61+51+62+57+59+61+61+0</f>
        <v>1703</v>
      </c>
      <c r="K126" s="49" t="s">
        <v>82</v>
      </c>
      <c r="L126" s="49" t="e">
        <f>#REF!-J126</f>
        <v>#REF!</v>
      </c>
      <c r="M126" s="49" t="e">
        <f>SUM(#REF!)</f>
        <v>#REF!</v>
      </c>
      <c r="N126" s="49" t="e">
        <f>#REF!-M126</f>
        <v>#REF!</v>
      </c>
      <c r="P126" s="59" t="s">
        <v>59</v>
      </c>
    </row>
    <row r="127" spans="1:16" s="49" customFormat="1" ht="21" x14ac:dyDescent="0.2">
      <c r="A127" s="52">
        <v>122</v>
      </c>
      <c r="B127" s="53" t="s">
        <v>172</v>
      </c>
      <c r="C127" s="53" t="s">
        <v>204</v>
      </c>
      <c r="D127" s="54">
        <v>23</v>
      </c>
      <c r="E127" s="46">
        <v>1064</v>
      </c>
      <c r="F127" s="43">
        <v>40000</v>
      </c>
      <c r="G127" s="44">
        <f>Table1[[#This Row],[Trọng lượng]]*Table1[[#This Row],[Định mức]]</f>
        <v>42560000</v>
      </c>
      <c r="H127" s="45"/>
      <c r="J127" s="49">
        <f>211+152+45+43+46+40+41+42+37+38+30+27+29+31+33+25+25+26+33+30+27+28+25</f>
        <v>1064</v>
      </c>
      <c r="M127" s="49" t="e">
        <f>SUM(#REF!)</f>
        <v>#REF!</v>
      </c>
      <c r="N127" s="49" t="e">
        <f>#REF!-M127</f>
        <v>#REF!</v>
      </c>
      <c r="P127" s="57" t="s">
        <v>69</v>
      </c>
    </row>
    <row r="128" spans="1:16" s="49" customFormat="1" ht="16.5" x14ac:dyDescent="0.2">
      <c r="A128" s="52">
        <v>123</v>
      </c>
      <c r="B128" s="53" t="s">
        <v>174</v>
      </c>
      <c r="C128" s="53" t="s">
        <v>72</v>
      </c>
      <c r="D128" s="54">
        <v>7</v>
      </c>
      <c r="E128" s="39">
        <v>192</v>
      </c>
      <c r="F128" s="43">
        <v>40000</v>
      </c>
      <c r="G128" s="44">
        <f>Table1[[#This Row],[Trọng lượng]]*Table1[[#This Row],[Định mức]]</f>
        <v>7680000</v>
      </c>
      <c r="H128" s="45"/>
      <c r="M128" s="49" t="e">
        <f>SUM(#REF!)</f>
        <v>#REF!</v>
      </c>
      <c r="N128" s="49" t="e">
        <f>#REF!-M128</f>
        <v>#REF!</v>
      </c>
      <c r="P128" s="55" t="s">
        <v>72</v>
      </c>
    </row>
    <row r="129" spans="1:16" s="49" customFormat="1" ht="16.5" x14ac:dyDescent="0.2">
      <c r="A129" s="52">
        <v>124</v>
      </c>
      <c r="B129" s="53" t="s">
        <v>180</v>
      </c>
      <c r="C129" s="53" t="s">
        <v>62</v>
      </c>
      <c r="D129" s="54">
        <v>3</v>
      </c>
      <c r="E129" s="39">
        <v>510</v>
      </c>
      <c r="F129" s="43">
        <v>40000</v>
      </c>
      <c r="G129" s="44">
        <f>Table1[[#This Row],[Trọng lượng]]*Table1[[#This Row],[Định mức]]</f>
        <v>20400000</v>
      </c>
      <c r="H129" s="45"/>
      <c r="M129" s="49" t="e">
        <f>SUM(#REF!)</f>
        <v>#REF!</v>
      </c>
      <c r="N129" s="49" t="e">
        <f>#REF!-M129</f>
        <v>#REF!</v>
      </c>
      <c r="P129" s="57" t="s">
        <v>62</v>
      </c>
    </row>
    <row r="130" spans="1:16" s="49" customFormat="1" ht="16.5" x14ac:dyDescent="0.2">
      <c r="A130" s="52">
        <v>125</v>
      </c>
      <c r="B130" s="53" t="s">
        <v>181</v>
      </c>
      <c r="C130" s="53" t="s">
        <v>60</v>
      </c>
      <c r="D130" s="54">
        <v>12</v>
      </c>
      <c r="E130" s="39">
        <v>282</v>
      </c>
      <c r="F130" s="43">
        <v>40000</v>
      </c>
      <c r="G130" s="44">
        <f>Table1[[#This Row],[Trọng lượng]]*Table1[[#This Row],[Định mức]]</f>
        <v>11280000</v>
      </c>
      <c r="H130" s="45"/>
      <c r="J130" s="49" t="s">
        <v>82</v>
      </c>
      <c r="L130" s="49" t="e">
        <f>#REF!+#REF!</f>
        <v>#REF!</v>
      </c>
      <c r="M130" s="49" t="e">
        <f>SUM(#REF!)</f>
        <v>#REF!</v>
      </c>
      <c r="N130" s="49" t="e">
        <f>#REF!-M130</f>
        <v>#REF!</v>
      </c>
      <c r="P130" s="59" t="s">
        <v>59</v>
      </c>
    </row>
    <row r="131" spans="1:16" s="49" customFormat="1" ht="16.5" x14ac:dyDescent="0.2">
      <c r="A131" s="52">
        <v>126</v>
      </c>
      <c r="B131" s="53" t="s">
        <v>182</v>
      </c>
      <c r="C131" s="53" t="s">
        <v>205</v>
      </c>
      <c r="D131" s="54">
        <v>1</v>
      </c>
      <c r="E131" s="39">
        <v>109</v>
      </c>
      <c r="F131" s="43">
        <v>40000</v>
      </c>
      <c r="G131" s="44">
        <f>Table1[[#This Row],[Trọng lượng]]*Table1[[#This Row],[Định mức]]</f>
        <v>4360000</v>
      </c>
      <c r="H131" s="58"/>
      <c r="M131" s="49" t="e">
        <f>SUM(#REF!)</f>
        <v>#REF!</v>
      </c>
      <c r="N131" s="49" t="e">
        <f>#REF!-M131</f>
        <v>#REF!</v>
      </c>
      <c r="P131" s="57" t="s">
        <v>74</v>
      </c>
    </row>
    <row r="132" spans="1:16" s="49" customFormat="1" ht="16.5" x14ac:dyDescent="0.2">
      <c r="A132" s="52">
        <v>127</v>
      </c>
      <c r="B132" s="53" t="s">
        <v>183</v>
      </c>
      <c r="C132" s="53" t="s">
        <v>64</v>
      </c>
      <c r="D132" s="54">
        <v>2</v>
      </c>
      <c r="E132" s="39">
        <v>243</v>
      </c>
      <c r="F132" s="43">
        <v>40000</v>
      </c>
      <c r="G132" s="44">
        <f>Table1[[#This Row],[Trọng lượng]]*Table1[[#This Row],[Định mức]]</f>
        <v>9720000</v>
      </c>
      <c r="H132" s="45"/>
      <c r="M132" s="49" t="e">
        <f>SUM(#REF!)</f>
        <v>#REF!</v>
      </c>
      <c r="N132" s="49" t="e">
        <f>#REF!-M132</f>
        <v>#REF!</v>
      </c>
      <c r="P132" s="55" t="s">
        <v>64</v>
      </c>
    </row>
    <row r="133" spans="1:16" s="49" customFormat="1" ht="16.5" x14ac:dyDescent="0.2">
      <c r="A133" s="52">
        <v>128</v>
      </c>
      <c r="B133" s="53" t="s">
        <v>184</v>
      </c>
      <c r="C133" s="53" t="s">
        <v>64</v>
      </c>
      <c r="D133" s="54">
        <v>1</v>
      </c>
      <c r="E133" s="39">
        <v>143</v>
      </c>
      <c r="F133" s="43">
        <v>40000</v>
      </c>
      <c r="G133" s="44">
        <f>Table1[[#This Row],[Trọng lượng]]*Table1[[#This Row],[Định mức]]</f>
        <v>5720000</v>
      </c>
      <c r="H133" s="45"/>
      <c r="M133" s="49" t="e">
        <f>SUM(#REF!)</f>
        <v>#REF!</v>
      </c>
      <c r="N133" s="49" t="e">
        <f>#REF!-M133</f>
        <v>#REF!</v>
      </c>
      <c r="P133" s="57" t="s">
        <v>64</v>
      </c>
    </row>
    <row r="134" spans="1:16" s="49" customFormat="1" ht="16.5" x14ac:dyDescent="0.2">
      <c r="A134" s="52">
        <v>129</v>
      </c>
      <c r="B134" s="53" t="s">
        <v>185</v>
      </c>
      <c r="C134" s="53" t="s">
        <v>62</v>
      </c>
      <c r="D134" s="54">
        <v>1</v>
      </c>
      <c r="E134" s="39">
        <v>102</v>
      </c>
      <c r="F134" s="43">
        <v>40000</v>
      </c>
      <c r="G134" s="44">
        <f>Table1[[#This Row],[Trọng lượng]]*Table1[[#This Row],[Định mức]]</f>
        <v>4080000</v>
      </c>
      <c r="H134" s="45"/>
      <c r="M134" s="49" t="e">
        <f>SUM(#REF!)</f>
        <v>#REF!</v>
      </c>
      <c r="N134" s="49" t="e">
        <f>#REF!-M134</f>
        <v>#REF!</v>
      </c>
      <c r="P134" s="55" t="s">
        <v>62</v>
      </c>
    </row>
    <row r="135" spans="1:16" s="49" customFormat="1" ht="16.5" x14ac:dyDescent="0.2">
      <c r="A135" s="52">
        <v>130</v>
      </c>
      <c r="B135" s="53" t="s">
        <v>186</v>
      </c>
      <c r="C135" s="53" t="s">
        <v>203</v>
      </c>
      <c r="D135" s="54">
        <v>1</v>
      </c>
      <c r="E135" s="39">
        <v>154</v>
      </c>
      <c r="F135" s="43">
        <v>40000</v>
      </c>
      <c r="G135" s="44">
        <f>Table1[[#This Row],[Trọng lượng]]*Table1[[#This Row],[Định mức]]</f>
        <v>6160000</v>
      </c>
      <c r="H135" s="45"/>
      <c r="M135" s="49" t="e">
        <f>SUM(#REF!)</f>
        <v>#REF!</v>
      </c>
      <c r="N135" s="49" t="e">
        <f>#REF!-M135</f>
        <v>#REF!</v>
      </c>
      <c r="P135" s="57" t="s">
        <v>58</v>
      </c>
    </row>
    <row r="136" spans="1:16" s="49" customFormat="1" ht="16.5" x14ac:dyDescent="0.2">
      <c r="A136" s="52">
        <v>131</v>
      </c>
      <c r="B136" s="53" t="s">
        <v>167</v>
      </c>
      <c r="C136" s="53" t="s">
        <v>64</v>
      </c>
      <c r="D136" s="54">
        <v>1</v>
      </c>
      <c r="E136" s="39">
        <v>173</v>
      </c>
      <c r="F136" s="43">
        <v>40000</v>
      </c>
      <c r="G136" s="44">
        <f>Table1[[#This Row],[Trọng lượng]]*Table1[[#This Row],[Định mức]]</f>
        <v>6920000</v>
      </c>
      <c r="H136" s="45"/>
      <c r="M136" s="49" t="e">
        <f>SUM(#REF!)</f>
        <v>#REF!</v>
      </c>
      <c r="N136" s="49" t="e">
        <f>#REF!-M136</f>
        <v>#REF!</v>
      </c>
      <c r="P136" s="55" t="s">
        <v>64</v>
      </c>
    </row>
    <row r="137" spans="1:16" s="49" customFormat="1" ht="16.5" x14ac:dyDescent="0.2">
      <c r="A137" s="52">
        <v>132</v>
      </c>
      <c r="B137" s="53" t="s">
        <v>187</v>
      </c>
      <c r="C137" s="53" t="s">
        <v>75</v>
      </c>
      <c r="D137" s="54">
        <v>8</v>
      </c>
      <c r="E137" s="39">
        <v>105</v>
      </c>
      <c r="F137" s="43">
        <v>40000</v>
      </c>
      <c r="G137" s="44">
        <f>Table1[[#This Row],[Trọng lượng]]*Table1[[#This Row],[Định mức]]</f>
        <v>4200000</v>
      </c>
      <c r="H137" s="45"/>
      <c r="M137" s="49" t="e">
        <f>SUM(#REF!)</f>
        <v>#REF!</v>
      </c>
      <c r="N137" s="49" t="e">
        <f>#REF!-M137</f>
        <v>#REF!</v>
      </c>
      <c r="P137" s="57" t="s">
        <v>75</v>
      </c>
    </row>
    <row r="138" spans="1:16" s="49" customFormat="1" ht="16.5" x14ac:dyDescent="0.2">
      <c r="A138" s="52">
        <v>133</v>
      </c>
      <c r="B138" s="53" t="s">
        <v>188</v>
      </c>
      <c r="C138" s="53" t="s">
        <v>75</v>
      </c>
      <c r="D138" s="54">
        <v>2</v>
      </c>
      <c r="E138" s="39">
        <v>86</v>
      </c>
      <c r="F138" s="43">
        <v>40000</v>
      </c>
      <c r="G138" s="44">
        <f>Table1[[#This Row],[Trọng lượng]]*Table1[[#This Row],[Định mức]]</f>
        <v>3440000</v>
      </c>
      <c r="H138" s="45"/>
      <c r="M138" s="49" t="e">
        <f>SUM(#REF!)</f>
        <v>#REF!</v>
      </c>
      <c r="N138" s="49" t="e">
        <f>#REF!-M138</f>
        <v>#REF!</v>
      </c>
      <c r="P138" s="55" t="s">
        <v>75</v>
      </c>
    </row>
    <row r="139" spans="1:16" s="49" customFormat="1" ht="21" x14ac:dyDescent="0.2">
      <c r="A139" s="52">
        <v>134</v>
      </c>
      <c r="B139" s="53" t="s">
        <v>189</v>
      </c>
      <c r="C139" s="53" t="s">
        <v>204</v>
      </c>
      <c r="D139" s="54">
        <v>7</v>
      </c>
      <c r="E139" s="39">
        <v>137</v>
      </c>
      <c r="F139" s="43">
        <v>40000</v>
      </c>
      <c r="G139" s="44">
        <f>Table1[[#This Row],[Trọng lượng]]*Table1[[#This Row],[Định mức]]</f>
        <v>5480000</v>
      </c>
      <c r="H139" s="45"/>
      <c r="M139" s="49" t="e">
        <f>SUM(#REF!)</f>
        <v>#REF!</v>
      </c>
      <c r="N139" s="49" t="e">
        <f>#REF!-M139</f>
        <v>#REF!</v>
      </c>
      <c r="P139" s="57" t="s">
        <v>69</v>
      </c>
    </row>
    <row r="140" spans="1:16" s="49" customFormat="1" ht="21" x14ac:dyDescent="0.2">
      <c r="A140" s="52">
        <v>135</v>
      </c>
      <c r="B140" s="53" t="s">
        <v>189</v>
      </c>
      <c r="C140" s="53" t="s">
        <v>204</v>
      </c>
      <c r="D140" s="54">
        <v>6</v>
      </c>
      <c r="E140" s="39">
        <v>46</v>
      </c>
      <c r="F140" s="43">
        <v>40000</v>
      </c>
      <c r="G140" s="44">
        <f>Table1[[#This Row],[Trọng lượng]]*Table1[[#This Row],[Định mức]]</f>
        <v>1840000</v>
      </c>
      <c r="H140" s="45"/>
      <c r="M140" s="49" t="e">
        <f>SUM(#REF!)</f>
        <v>#REF!</v>
      </c>
      <c r="N140" s="49" t="e">
        <f>#REF!-M140</f>
        <v>#REF!</v>
      </c>
      <c r="P140" s="55" t="s">
        <v>69</v>
      </c>
    </row>
    <row r="141" spans="1:16" s="49" customFormat="1" ht="21" x14ac:dyDescent="0.2">
      <c r="A141" s="52">
        <v>136</v>
      </c>
      <c r="B141" s="53" t="s">
        <v>190</v>
      </c>
      <c r="C141" s="53" t="s">
        <v>204</v>
      </c>
      <c r="D141" s="54">
        <v>1</v>
      </c>
      <c r="E141" s="39">
        <v>152</v>
      </c>
      <c r="F141" s="43">
        <v>40000</v>
      </c>
      <c r="G141" s="44">
        <f>Table1[[#This Row],[Trọng lượng]]*Table1[[#This Row],[Định mức]]</f>
        <v>6080000</v>
      </c>
      <c r="H141" s="45"/>
      <c r="M141" s="49" t="e">
        <f>SUM(#REF!)</f>
        <v>#REF!</v>
      </c>
      <c r="N141" s="49" t="e">
        <f>#REF!-M141</f>
        <v>#REF!</v>
      </c>
      <c r="P141" s="57" t="s">
        <v>69</v>
      </c>
    </row>
    <row r="142" spans="1:16" s="49" customFormat="1" ht="33" x14ac:dyDescent="0.2">
      <c r="A142" s="52">
        <v>137</v>
      </c>
      <c r="B142" s="53" t="s">
        <v>191</v>
      </c>
      <c r="C142" s="53" t="s">
        <v>60</v>
      </c>
      <c r="D142" s="54">
        <v>16</v>
      </c>
      <c r="E142" s="39">
        <v>982</v>
      </c>
      <c r="F142" s="43">
        <v>40000</v>
      </c>
      <c r="G142" s="44">
        <f>Table1[[#This Row],[Trọng lượng]]*Table1[[#This Row],[Định mức]]</f>
        <v>39280000</v>
      </c>
      <c r="H142" s="45"/>
      <c r="J142" s="49">
        <f>56+51+57+44+60+47+42+49+55+55+57+60+50+59+44+196</f>
        <v>982</v>
      </c>
      <c r="M142" s="49" t="e">
        <f>SUM(#REF!)</f>
        <v>#REF!</v>
      </c>
      <c r="N142" s="49" t="e">
        <f>#REF!-M142</f>
        <v>#REF!</v>
      </c>
      <c r="P142" s="55" t="s">
        <v>60</v>
      </c>
    </row>
    <row r="143" spans="1:16" s="49" customFormat="1" ht="16.5" x14ac:dyDescent="0.2">
      <c r="A143" s="52">
        <v>138</v>
      </c>
      <c r="B143" s="53" t="s">
        <v>192</v>
      </c>
      <c r="C143" s="53" t="s">
        <v>203</v>
      </c>
      <c r="D143" s="54">
        <v>1</v>
      </c>
      <c r="E143" s="39">
        <v>97</v>
      </c>
      <c r="F143" s="43">
        <v>40000</v>
      </c>
      <c r="G143" s="44">
        <f>Table1[[#This Row],[Trọng lượng]]*Table1[[#This Row],[Định mức]]</f>
        <v>3880000</v>
      </c>
      <c r="H143" s="45"/>
      <c r="M143" s="49" t="e">
        <f>SUM(#REF!)</f>
        <v>#REF!</v>
      </c>
      <c r="N143" s="49" t="e">
        <f>#REF!-M143</f>
        <v>#REF!</v>
      </c>
      <c r="P143" s="57" t="s">
        <v>66</v>
      </c>
    </row>
    <row r="144" spans="1:16" s="49" customFormat="1" ht="16.5" x14ac:dyDescent="0.2">
      <c r="A144" s="52">
        <v>139</v>
      </c>
      <c r="B144" s="53" t="s">
        <v>193</v>
      </c>
      <c r="C144" s="53" t="s">
        <v>203</v>
      </c>
      <c r="D144" s="54">
        <v>25</v>
      </c>
      <c r="E144" s="46">
        <v>1283</v>
      </c>
      <c r="F144" s="43">
        <v>40000</v>
      </c>
      <c r="G144" s="44">
        <f>Table1[[#This Row],[Trọng lượng]]*Table1[[#This Row],[Định mức]]</f>
        <v>51320000</v>
      </c>
      <c r="H144" s="45"/>
      <c r="J144" s="49">
        <f>202+223+37+37+40+41+37+36+35+40+42+42+41+35+37+36+36+33+38+35+35+39+31+40+35</f>
        <v>1283</v>
      </c>
      <c r="M144" s="49" t="e">
        <f>SUM(#REF!)</f>
        <v>#REF!</v>
      </c>
      <c r="N144" s="49" t="e">
        <f>#REF!-M144</f>
        <v>#REF!</v>
      </c>
      <c r="P144" s="55" t="s">
        <v>66</v>
      </c>
    </row>
    <row r="145" spans="1:22" s="49" customFormat="1" ht="16.5" x14ac:dyDescent="0.2">
      <c r="A145" s="52">
        <v>140</v>
      </c>
      <c r="B145" s="53" t="s">
        <v>194</v>
      </c>
      <c r="C145" s="53" t="s">
        <v>205</v>
      </c>
      <c r="D145" s="54">
        <v>2</v>
      </c>
      <c r="E145" s="39">
        <v>316</v>
      </c>
      <c r="F145" s="43">
        <v>40000</v>
      </c>
      <c r="G145" s="44">
        <f>Table1[[#This Row],[Trọng lượng]]*Table1[[#This Row],[Định mức]]</f>
        <v>12640000</v>
      </c>
      <c r="H145" s="45"/>
      <c r="M145" s="49" t="e">
        <f>SUM(#REF!)</f>
        <v>#REF!</v>
      </c>
      <c r="N145" s="49" t="e">
        <f>#REF!-M145</f>
        <v>#REF!</v>
      </c>
      <c r="P145" s="57" t="s">
        <v>74</v>
      </c>
    </row>
    <row r="146" spans="1:22" s="49" customFormat="1" ht="16.5" x14ac:dyDescent="0.2">
      <c r="A146" s="52">
        <v>141</v>
      </c>
      <c r="B146" s="53" t="s">
        <v>195</v>
      </c>
      <c r="C146" s="53" t="s">
        <v>62</v>
      </c>
      <c r="D146" s="54">
        <v>1</v>
      </c>
      <c r="E146" s="39">
        <v>119</v>
      </c>
      <c r="F146" s="43">
        <v>40000</v>
      </c>
      <c r="G146" s="44">
        <f>Table1[[#This Row],[Trọng lượng]]*Table1[[#This Row],[Định mức]]</f>
        <v>4760000</v>
      </c>
      <c r="H146" s="45"/>
      <c r="M146" s="49" t="e">
        <f>SUM(#REF!)</f>
        <v>#REF!</v>
      </c>
      <c r="N146" s="49" t="e">
        <f>#REF!-M146</f>
        <v>#REF!</v>
      </c>
      <c r="P146" s="55" t="s">
        <v>62</v>
      </c>
    </row>
    <row r="147" spans="1:22" s="49" customFormat="1" ht="21" x14ac:dyDescent="0.2">
      <c r="A147" s="52">
        <v>142</v>
      </c>
      <c r="B147" s="53" t="s">
        <v>190</v>
      </c>
      <c r="C147" s="53" t="s">
        <v>204</v>
      </c>
      <c r="D147" s="54">
        <v>18</v>
      </c>
      <c r="E147" s="39">
        <v>195</v>
      </c>
      <c r="F147" s="43">
        <v>40000</v>
      </c>
      <c r="G147" s="44">
        <f>Table1[[#This Row],[Trọng lượng]]*Table1[[#This Row],[Định mức]]</f>
        <v>7800000</v>
      </c>
      <c r="H147" s="45"/>
      <c r="M147" s="49" t="e">
        <f>SUM(#REF!)</f>
        <v>#REF!</v>
      </c>
      <c r="N147" s="49" t="e">
        <f>#REF!-M147</f>
        <v>#REF!</v>
      </c>
      <c r="P147" s="57" t="s">
        <v>69</v>
      </c>
    </row>
    <row r="148" spans="1:22" s="49" customFormat="1" ht="16.5" x14ac:dyDescent="0.2">
      <c r="A148" s="52">
        <v>143</v>
      </c>
      <c r="B148" s="53" t="s">
        <v>196</v>
      </c>
      <c r="C148" s="53" t="s">
        <v>206</v>
      </c>
      <c r="D148" s="54">
        <v>40</v>
      </c>
      <c r="E148" s="46">
        <v>2679</v>
      </c>
      <c r="F148" s="43">
        <v>40000</v>
      </c>
      <c r="G148" s="44">
        <f>Table1[[#This Row],[Trọng lượng]]*Table1[[#This Row],[Định mức]]</f>
        <v>107160000</v>
      </c>
      <c r="H148" s="45"/>
      <c r="J148" s="49">
        <f>174+176+153+142+165+61+53+57+57+55+50+57+48+48+52+59+59+56+50+41+47+45+59+55+58+52+53+55+59+51+53+48+49+57+54+59+50+55+59+48</f>
        <v>2679</v>
      </c>
      <c r="K148" s="49" t="s">
        <v>82</v>
      </c>
      <c r="L148" s="49" t="e">
        <f>#REF!-J148</f>
        <v>#REF!</v>
      </c>
      <c r="M148" s="49" t="e">
        <f>SUM(#REF!)</f>
        <v>#REF!</v>
      </c>
      <c r="N148" s="49" t="e">
        <f>#REF!-M148</f>
        <v>#REF!</v>
      </c>
      <c r="P148" s="59" t="s">
        <v>71</v>
      </c>
    </row>
    <row r="149" spans="1:22" s="49" customFormat="1" ht="16.5" x14ac:dyDescent="0.2">
      <c r="A149" s="52">
        <v>144</v>
      </c>
      <c r="B149" s="53" t="s">
        <v>197</v>
      </c>
      <c r="C149" s="53" t="s">
        <v>72</v>
      </c>
      <c r="D149" s="54">
        <v>20</v>
      </c>
      <c r="E149" s="39">
        <v>316</v>
      </c>
      <c r="F149" s="43">
        <v>40000</v>
      </c>
      <c r="G149" s="44">
        <f>Table1[[#This Row],[Trọng lượng]]*Table1[[#This Row],[Định mức]]</f>
        <v>12640000</v>
      </c>
      <c r="H149" s="45"/>
      <c r="M149" s="49" t="e">
        <f>SUM(#REF!)</f>
        <v>#REF!</v>
      </c>
      <c r="N149" s="49" t="e">
        <f>#REF!-M149</f>
        <v>#REF!</v>
      </c>
      <c r="P149" s="57" t="s">
        <v>72</v>
      </c>
    </row>
    <row r="150" spans="1:22" s="49" customFormat="1" ht="16.5" x14ac:dyDescent="0.2">
      <c r="A150" s="52">
        <v>145</v>
      </c>
      <c r="B150" s="53" t="s">
        <v>198</v>
      </c>
      <c r="C150" s="53" t="s">
        <v>63</v>
      </c>
      <c r="D150" s="54">
        <v>13</v>
      </c>
      <c r="E150" s="46">
        <v>1108</v>
      </c>
      <c r="F150" s="43">
        <v>40000</v>
      </c>
      <c r="G150" s="44">
        <f>Table1[[#This Row],[Trọng lượng]]*Table1[[#This Row],[Định mức]]</f>
        <v>44320000</v>
      </c>
      <c r="H150" s="45"/>
      <c r="J150" s="49">
        <f>157+142+136+149+132+50+51+55+47+52+57+41+39</f>
        <v>1108</v>
      </c>
      <c r="L150" s="49">
        <f>157+142+136+149+132+50+51+55+47+52+57+41+39</f>
        <v>1108</v>
      </c>
      <c r="M150" s="49" t="e">
        <f>SUM(#REF!)</f>
        <v>#REF!</v>
      </c>
      <c r="N150" s="49" t="e">
        <f>#REF!-M150</f>
        <v>#REF!</v>
      </c>
      <c r="P150" s="55" t="s">
        <v>63</v>
      </c>
    </row>
    <row r="151" spans="1:22" s="49" customFormat="1" ht="16.5" x14ac:dyDescent="0.2">
      <c r="A151" s="52">
        <v>146</v>
      </c>
      <c r="B151" s="53" t="s">
        <v>198</v>
      </c>
      <c r="C151" s="53" t="s">
        <v>63</v>
      </c>
      <c r="D151" s="54">
        <v>2</v>
      </c>
      <c r="E151" s="39">
        <v>203</v>
      </c>
      <c r="F151" s="43">
        <v>40000</v>
      </c>
      <c r="G151" s="44">
        <f>Table1[[#This Row],[Trọng lượng]]*Table1[[#This Row],[Định mức]]</f>
        <v>8120000</v>
      </c>
      <c r="H151" s="45"/>
      <c r="M151" s="49" t="e">
        <f>SUM(#REF!)</f>
        <v>#REF!</v>
      </c>
      <c r="N151" s="49" t="e">
        <f>#REF!-M151</f>
        <v>#REF!</v>
      </c>
      <c r="P151" s="57" t="s">
        <v>63</v>
      </c>
    </row>
    <row r="152" spans="1:22" s="49" customFormat="1" ht="21" x14ac:dyDescent="0.2">
      <c r="A152" s="52">
        <v>147</v>
      </c>
      <c r="B152" s="53" t="s">
        <v>199</v>
      </c>
      <c r="C152" s="53" t="s">
        <v>204</v>
      </c>
      <c r="D152" s="54">
        <v>1</v>
      </c>
      <c r="E152" s="39">
        <v>92</v>
      </c>
      <c r="F152" s="43">
        <v>40000</v>
      </c>
      <c r="G152" s="44">
        <f>Table1[[#This Row],[Trọng lượng]]*Table1[[#This Row],[Định mức]]</f>
        <v>3680000</v>
      </c>
      <c r="H152" s="45"/>
      <c r="M152" s="49" t="e">
        <f>SUM(#REF!)</f>
        <v>#REF!</v>
      </c>
      <c r="N152" s="49" t="e">
        <f>#REF!-M152</f>
        <v>#REF!</v>
      </c>
      <c r="P152" s="55" t="s">
        <v>69</v>
      </c>
    </row>
    <row r="153" spans="1:22" s="49" customFormat="1" ht="16.5" x14ac:dyDescent="0.2">
      <c r="A153" s="52">
        <v>148</v>
      </c>
      <c r="B153" s="53" t="s">
        <v>184</v>
      </c>
      <c r="C153" s="53" t="s">
        <v>64</v>
      </c>
      <c r="D153" s="54">
        <v>2</v>
      </c>
      <c r="E153" s="39">
        <v>103</v>
      </c>
      <c r="F153" s="43">
        <v>40000</v>
      </c>
      <c r="G153" s="44">
        <f>Table1[[#This Row],[Trọng lượng]]*Table1[[#This Row],[Định mức]]</f>
        <v>4120000</v>
      </c>
      <c r="H153" s="45"/>
      <c r="M153" s="49" t="e">
        <f>SUM(#REF!)</f>
        <v>#REF!</v>
      </c>
      <c r="N153" s="49" t="e">
        <f>#REF!-M153</f>
        <v>#REF!</v>
      </c>
      <c r="P153" s="57" t="s">
        <v>64</v>
      </c>
    </row>
    <row r="154" spans="1:22" s="49" customFormat="1" ht="22.5" customHeight="1" x14ac:dyDescent="0.2">
      <c r="A154" s="52">
        <v>149</v>
      </c>
      <c r="B154" s="53" t="s">
        <v>184</v>
      </c>
      <c r="C154" s="53" t="s">
        <v>64</v>
      </c>
      <c r="D154" s="54">
        <v>3</v>
      </c>
      <c r="E154" s="39">
        <v>159</v>
      </c>
      <c r="F154" s="43">
        <v>40000</v>
      </c>
      <c r="G154" s="44">
        <f>Table1[[#This Row],[Trọng lượng]]*Table1[[#This Row],[Định mức]]</f>
        <v>6360000</v>
      </c>
      <c r="H154" s="58"/>
      <c r="L154" s="49">
        <v>2993382000</v>
      </c>
      <c r="M154" s="49" t="e">
        <f>SUM(#REF!)</f>
        <v>#REF!</v>
      </c>
      <c r="N154" s="49" t="e">
        <f>#REF!-M154</f>
        <v>#REF!</v>
      </c>
      <c r="P154" s="55" t="s">
        <v>64</v>
      </c>
      <c r="V154" s="60">
        <f>SUM(E6:E156)</f>
        <v>74775.199999999997</v>
      </c>
    </row>
    <row r="155" spans="1:22" s="49" customFormat="1" ht="16.5" x14ac:dyDescent="0.2">
      <c r="A155" s="52">
        <v>150</v>
      </c>
      <c r="B155" s="53" t="s">
        <v>182</v>
      </c>
      <c r="C155" s="53" t="s">
        <v>205</v>
      </c>
      <c r="D155" s="54">
        <v>17</v>
      </c>
      <c r="E155" s="39">
        <v>673</v>
      </c>
      <c r="F155" s="43">
        <v>40000</v>
      </c>
      <c r="G155" s="44">
        <f>Table1[[#This Row],[Trọng lượng]]*Table1[[#This Row],[Định mức]]</f>
        <v>26920000</v>
      </c>
      <c r="H155" s="45"/>
      <c r="J155" s="49">
        <f>43+47+44+35+30+33+35+46+36+41+43+39+45+38+45+35+38</f>
        <v>673</v>
      </c>
      <c r="L155" s="49">
        <f>L154-Table1[[#Totals],[Kinh phí]]</f>
        <v>3544000</v>
      </c>
      <c r="M155" s="49" t="e">
        <f>SUM(#REF!)</f>
        <v>#REF!</v>
      </c>
      <c r="N155" s="49" t="e">
        <f>#REF!-M155</f>
        <v>#REF!</v>
      </c>
      <c r="P155" s="57" t="s">
        <v>74</v>
      </c>
      <c r="U155" s="49">
        <f>4+11+11+8+5+24+4+15+3+14+2+1+5+14</f>
        <v>121</v>
      </c>
      <c r="V155" s="49" t="s">
        <v>211</v>
      </c>
    </row>
    <row r="156" spans="1:22" s="49" customFormat="1" ht="16.5" x14ac:dyDescent="0.2">
      <c r="A156" s="54">
        <v>151</v>
      </c>
      <c r="B156" s="53" t="s">
        <v>198</v>
      </c>
      <c r="C156" s="53" t="s">
        <v>63</v>
      </c>
      <c r="D156" s="54">
        <v>7</v>
      </c>
      <c r="E156" s="39">
        <v>463</v>
      </c>
      <c r="F156" s="43">
        <v>40000</v>
      </c>
      <c r="G156" s="44">
        <f>Table1[[#This Row],[Trọng lượng]]*Table1[[#This Row],[Định mức]]</f>
        <v>18520000</v>
      </c>
      <c r="H156" s="61"/>
      <c r="J156" s="49">
        <f>157+52+58+55+50+44+47</f>
        <v>463</v>
      </c>
      <c r="M156" s="49" t="e">
        <f>SUM(#REF!)</f>
        <v>#REF!</v>
      </c>
      <c r="N156" s="49" t="e">
        <f>#REF!-M156</f>
        <v>#REF!</v>
      </c>
      <c r="P156" s="55" t="s">
        <v>63</v>
      </c>
    </row>
    <row r="157" spans="1:22" s="49" customFormat="1" ht="16.5" x14ac:dyDescent="0.2">
      <c r="A157" s="62"/>
      <c r="B157" s="63" t="s">
        <v>201</v>
      </c>
      <c r="C157" s="63"/>
      <c r="D157" s="64">
        <f>SUBTOTAL(109,Table1[số lượng])</f>
        <v>1304</v>
      </c>
      <c r="E157" s="65">
        <f>SUBTOTAL(109,Table1[Trọng lượng])</f>
        <v>74775.199999999997</v>
      </c>
      <c r="F157" s="65"/>
      <c r="G157" s="44">
        <f>SUBTOTAL(109,Table1[Kinh phí])</f>
        <v>2989838000</v>
      </c>
      <c r="H157" s="66"/>
    </row>
    <row r="158" spans="1:22" x14ac:dyDescent="0.2">
      <c r="L158" s="30">
        <v>74864</v>
      </c>
      <c r="N158" s="31">
        <f>L158-Table1[[#Totals],[Trọng lượng]]</f>
        <v>88.80000000000291</v>
      </c>
      <c r="P158">
        <f>N158*40000</f>
        <v>3552000.0000001164</v>
      </c>
      <c r="V158" t="s">
        <v>210</v>
      </c>
    </row>
    <row r="161" spans="12:16" ht="16.5" x14ac:dyDescent="0.2">
      <c r="L161" s="41">
        <f>L158*40000</f>
        <v>2994560000</v>
      </c>
      <c r="P161" s="24">
        <f>L161-Table1[[#Totals],[Kinh phí]]</f>
        <v>4722000</v>
      </c>
    </row>
  </sheetData>
  <mergeCells count="3">
    <mergeCell ref="A1:H1"/>
    <mergeCell ref="A2:H2"/>
    <mergeCell ref="A3:H3"/>
  </mergeCells>
  <pageMargins left="0.31496062992125984" right="7.874015748031496E-2" top="0.55118110236220474" bottom="0.55118110236220474" header="0.31496062992125984" footer="0.31496062992125984"/>
  <pageSetup paperSize="9" scale="90" orientation="portrait" verticalDpi="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J1"/>
    </sheetView>
  </sheetViews>
  <sheetFormatPr defaultRowHeight="12.75" x14ac:dyDescent="0.2"/>
  <cols>
    <col min="1" max="1" width="3.6640625" customWidth="1"/>
    <col min="2" max="2" width="31.6640625" customWidth="1"/>
    <col min="3" max="3" width="16" customWidth="1"/>
    <col min="4" max="4" width="11.1640625" customWidth="1"/>
    <col min="5" max="5" width="12" customWidth="1"/>
    <col min="6" max="6" width="10.33203125" customWidth="1"/>
    <col min="7" max="7" width="8.33203125" customWidth="1"/>
    <col min="8" max="8" width="8.1640625" customWidth="1"/>
    <col min="9" max="9" width="8.33203125" customWidth="1"/>
    <col min="10" max="10" width="60.1640625" customWidth="1"/>
  </cols>
  <sheetData>
    <row r="1" spans="1:10" ht="11.25" customHeight="1" x14ac:dyDescent="0.2">
      <c r="A1" s="117" t="s">
        <v>0</v>
      </c>
      <c r="B1" s="117"/>
      <c r="C1" s="117"/>
      <c r="D1" s="117"/>
      <c r="E1" s="117"/>
      <c r="F1" s="117"/>
      <c r="G1" s="117"/>
      <c r="H1" s="117"/>
      <c r="I1" s="117"/>
      <c r="J1" s="117"/>
    </row>
    <row r="2" spans="1:10" ht="11.45" customHeight="1" x14ac:dyDescent="0.2">
      <c r="A2" s="118" t="s">
        <v>1</v>
      </c>
      <c r="B2" s="118"/>
      <c r="C2" s="118"/>
      <c r="D2" s="118"/>
      <c r="E2" s="118"/>
      <c r="F2" s="118"/>
      <c r="G2" s="118"/>
      <c r="H2" s="118"/>
      <c r="I2" s="118"/>
      <c r="J2" s="118"/>
    </row>
    <row r="3" spans="1:10" ht="11.25" customHeight="1" x14ac:dyDescent="0.2">
      <c r="A3" s="119" t="s">
        <v>2</v>
      </c>
      <c r="B3" s="119"/>
      <c r="C3" s="119"/>
      <c r="D3" s="119"/>
      <c r="E3" s="119"/>
      <c r="F3" s="119"/>
      <c r="G3" s="119"/>
      <c r="H3" s="119"/>
      <c r="I3" s="119"/>
      <c r="J3" s="119"/>
    </row>
    <row r="4" spans="1:10" ht="9.75" customHeight="1" x14ac:dyDescent="0.2">
      <c r="A4" s="120" t="s">
        <v>3</v>
      </c>
      <c r="B4" s="120"/>
      <c r="C4" s="120"/>
      <c r="D4" s="120"/>
      <c r="E4" s="120"/>
      <c r="F4" s="120"/>
      <c r="G4" s="120"/>
      <c r="H4" s="120"/>
      <c r="I4" s="120"/>
      <c r="J4" s="120"/>
    </row>
    <row r="5" spans="1:10" ht="12.95" customHeight="1" x14ac:dyDescent="0.2">
      <c r="A5" s="121" t="s">
        <v>4</v>
      </c>
      <c r="B5" s="123" t="s">
        <v>5</v>
      </c>
      <c r="C5" s="125" t="s">
        <v>6</v>
      </c>
      <c r="D5" s="126"/>
      <c r="E5" s="127"/>
      <c r="F5" s="121" t="s">
        <v>7</v>
      </c>
      <c r="G5" s="128" t="s">
        <v>8</v>
      </c>
      <c r="H5" s="129"/>
      <c r="I5" s="121" t="s">
        <v>9</v>
      </c>
    </row>
    <row r="6" spans="1:10" ht="182.85" customHeight="1" x14ac:dyDescent="0.2">
      <c r="A6" s="122"/>
      <c r="B6" s="124"/>
      <c r="C6" s="2" t="s">
        <v>10</v>
      </c>
      <c r="D6" s="2" t="s">
        <v>11</v>
      </c>
      <c r="E6" s="6" t="s">
        <v>12</v>
      </c>
      <c r="F6" s="122"/>
      <c r="G6" s="5" t="s">
        <v>13</v>
      </c>
      <c r="H6" s="6" t="s">
        <v>14</v>
      </c>
      <c r="I6" s="122"/>
    </row>
    <row r="7" spans="1:10" ht="23.85" customHeight="1" x14ac:dyDescent="0.2">
      <c r="A7" s="3"/>
      <c r="B7" s="3"/>
      <c r="C7" s="7">
        <v>1</v>
      </c>
      <c r="D7" s="7">
        <v>2</v>
      </c>
      <c r="E7" s="7">
        <v>3</v>
      </c>
      <c r="F7" s="2" t="s">
        <v>15</v>
      </c>
      <c r="G7" s="7">
        <v>5</v>
      </c>
      <c r="H7" s="7">
        <v>6</v>
      </c>
      <c r="I7" s="3"/>
    </row>
    <row r="8" spans="1:10" ht="13.5" customHeight="1" x14ac:dyDescent="0.2">
      <c r="A8" s="4"/>
      <c r="B8" s="8" t="s">
        <v>16</v>
      </c>
      <c r="C8" s="7">
        <v>550</v>
      </c>
      <c r="D8" s="9">
        <v>72705</v>
      </c>
      <c r="E8" s="9">
        <v>113700</v>
      </c>
      <c r="F8" s="9">
        <v>186955</v>
      </c>
      <c r="G8" s="4"/>
      <c r="H8" s="4"/>
      <c r="I8" s="4"/>
    </row>
    <row r="9" spans="1:10" ht="30" customHeight="1" x14ac:dyDescent="0.2">
      <c r="A9" s="10">
        <v>1</v>
      </c>
      <c r="B9" s="11" t="s">
        <v>17</v>
      </c>
      <c r="C9" s="7">
        <v>550</v>
      </c>
      <c r="D9" s="9">
        <v>72705</v>
      </c>
      <c r="E9" s="1"/>
      <c r="F9" s="9">
        <v>73255</v>
      </c>
      <c r="G9" s="1"/>
      <c r="H9" s="1"/>
      <c r="I9" s="1"/>
    </row>
    <row r="10" spans="1:10" ht="20.100000000000001" customHeight="1" x14ac:dyDescent="0.2">
      <c r="A10" s="12" t="s">
        <v>18</v>
      </c>
      <c r="B10" s="13" t="s">
        <v>19</v>
      </c>
      <c r="C10" s="14">
        <v>400</v>
      </c>
      <c r="D10" s="15">
        <v>22755</v>
      </c>
      <c r="E10" s="3"/>
      <c r="F10" s="9">
        <v>23155</v>
      </c>
      <c r="G10" s="3"/>
      <c r="H10" s="3"/>
      <c r="I10" s="13" t="s">
        <v>20</v>
      </c>
    </row>
    <row r="11" spans="1:10" ht="20.100000000000001" customHeight="1" x14ac:dyDescent="0.2">
      <c r="A11" s="12" t="s">
        <v>21</v>
      </c>
      <c r="B11" s="1" t="s">
        <v>22</v>
      </c>
      <c r="C11" s="14">
        <v>150</v>
      </c>
      <c r="D11" s="15">
        <v>49950</v>
      </c>
      <c r="E11" s="3"/>
      <c r="F11" s="9">
        <v>50100</v>
      </c>
      <c r="G11" s="3"/>
      <c r="H11" s="3"/>
      <c r="I11" s="13" t="s">
        <v>23</v>
      </c>
    </row>
    <row r="12" spans="1:10" ht="69.95" customHeight="1" x14ac:dyDescent="0.2">
      <c r="A12" s="16">
        <v>2</v>
      </c>
      <c r="B12" s="11" t="s">
        <v>24</v>
      </c>
      <c r="C12" s="1"/>
      <c r="D12" s="1"/>
      <c r="E12" s="17">
        <v>10200</v>
      </c>
      <c r="F12" s="18">
        <v>10200</v>
      </c>
      <c r="G12" s="1"/>
      <c r="H12" s="1"/>
      <c r="I12" s="2" t="s">
        <v>25</v>
      </c>
    </row>
    <row r="13" spans="1:10" ht="61.5" customHeight="1" x14ac:dyDescent="0.2">
      <c r="A13" s="16">
        <v>3</v>
      </c>
      <c r="B13" s="1" t="s">
        <v>26</v>
      </c>
      <c r="C13" s="1"/>
      <c r="D13" s="1"/>
      <c r="E13" s="17">
        <v>7000</v>
      </c>
      <c r="F13" s="18">
        <v>7000</v>
      </c>
      <c r="G13" s="1"/>
      <c r="H13" s="1"/>
      <c r="I13" s="1"/>
    </row>
    <row r="14" spans="1:10" ht="23.25" customHeight="1" x14ac:dyDescent="0.2">
      <c r="A14" s="10">
        <v>4</v>
      </c>
      <c r="B14" s="11" t="s">
        <v>27</v>
      </c>
      <c r="C14" s="3"/>
      <c r="D14" s="3"/>
      <c r="E14" s="15">
        <v>96500</v>
      </c>
      <c r="F14" s="9">
        <v>96500</v>
      </c>
      <c r="G14" s="3"/>
      <c r="H14" s="3"/>
      <c r="I14" s="3"/>
    </row>
    <row r="15" spans="1:10" ht="50.1" customHeight="1" x14ac:dyDescent="0.2">
      <c r="A15" s="16">
        <v>5</v>
      </c>
      <c r="B15" s="11" t="s">
        <v>28</v>
      </c>
      <c r="C15" s="1"/>
      <c r="D15" s="1"/>
      <c r="E15" s="1"/>
      <c r="F15" s="19">
        <v>0</v>
      </c>
      <c r="G15" s="1"/>
      <c r="H15" s="1"/>
      <c r="I15" s="11" t="s">
        <v>29</v>
      </c>
    </row>
  </sheetData>
  <mergeCells count="10">
    <mergeCell ref="A1:J1"/>
    <mergeCell ref="A2:J2"/>
    <mergeCell ref="A3:J3"/>
    <mergeCell ref="A4:J4"/>
    <mergeCell ref="A5:A6"/>
    <mergeCell ref="B5:B6"/>
    <mergeCell ref="C5:E5"/>
    <mergeCell ref="F5:F6"/>
    <mergeCell ref="G5:H5"/>
    <mergeCell ref="I5:I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Tổng</vt:lpstr>
      <vt:lpstr>Chi tiết theo thôn</vt:lpstr>
      <vt:lpstr>Table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2026-08-17T03:30:31Z</cp:lastPrinted>
  <dcterms:created xsi:type="dcterms:W3CDTF">2026-08-03T08:38:59Z</dcterms:created>
  <dcterms:modified xsi:type="dcterms:W3CDTF">2026-08-18T01:26:47Z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v10.0.20070.1</vt:lpwstr>
  </property>
  <property fmtid="{D5CDD505-2E9C-101B-9397-08002B2CF9AE}" pid="3" name="Created">
    <vt:filetime>2026-08-03T00:00:00Z</vt:filetime>
  </property>
  <property fmtid="{D5CDD505-2E9C-101B-9397-08002B2CF9AE}" pid="4" name="LastSaved">
    <vt:filetime>2026-08-03T00:00:00Z</vt:filetime>
  </property>
  <property fmtid="{D5CDD505-2E9C-101B-9397-08002B2CF9AE}" pid="5" name="Producer">
    <vt:lpwstr>Pdftools SDK; modified using iTextSharp™ 5.5.9 ©2000-2016 iText Group NV (AGPL-version)</vt:lpwstr>
  </property>
</Properties>
</file>